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penn" sheetId="1" r:id="rId1"/>
  </sheets>
  <definedNames>
    <definedName name="\P">'c2b penn'!#REF!</definedName>
    <definedName name="H_1">'c2b penn'!$A$3:$Q$14</definedName>
    <definedName name="HEADER">'c2b penn'!$A$3:$Q$13</definedName>
    <definedName name="P_1">'c2b penn'!$A$15:$Q$201</definedName>
    <definedName name="_xlnm.Print_Area" localSheetId="0">'c2b penn'!$A$1:$Q$170</definedName>
    <definedName name="_xlnm.Print_Titles" localSheetId="0">'c2b penn'!$1:$14</definedName>
  </definedNames>
  <calcPr fullCalcOnLoad="1"/>
</workbook>
</file>

<file path=xl/sharedStrings.xml><?xml version="1.0" encoding="utf-8"?>
<sst xmlns="http://schemas.openxmlformats.org/spreadsheetml/2006/main" count="235" uniqueCount="143">
  <si>
    <t xml:space="preserve"> 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</si>
  <si>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</si>
  <si>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</si>
  <si>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</si>
  <si>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</si>
  <si>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</si>
  <si>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</si>
  <si>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</si>
  <si>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</si>
  <si>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</si>
  <si>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</si>
  <si>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</si>
  <si>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</si>
  <si>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</si>
  <si>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</si>
  <si>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 xml:space="preserve">     --</t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</si>
  <si>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</si>
  <si>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</si>
  <si>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</si>
  <si>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</si>
  <si>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</si>
  <si>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</si>
  <si>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</si>
  <si>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</si>
  <si>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</si>
  <si>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</si>
  <si>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</si>
  <si>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</si>
  <si>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</si>
  <si>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</si>
  <si>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</si>
  <si>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</si>
  <si>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</si>
  <si>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Adipose tissue signaling</t>
  </si>
  <si>
    <t xml:space="preserve">     Antioxidant and gene regulation lab</t>
  </si>
  <si>
    <t xml:space="preserve">     Autonomic neurosciences laboratory</t>
  </si>
  <si>
    <t xml:space="preserve">     Blood brain barrier</t>
  </si>
  <si>
    <t xml:space="preserve">     Diabetes</t>
  </si>
  <si>
    <t xml:space="preserve">     Human genomics </t>
  </si>
  <si>
    <t xml:space="preserve">     Molecular genetics </t>
  </si>
  <si>
    <t xml:space="preserve">     Neurobehavior laboratory</t>
  </si>
  <si>
    <t xml:space="preserve">     Neuroscience</t>
  </si>
  <si>
    <t xml:space="preserve">     Neurosignaling</t>
  </si>
  <si>
    <t xml:space="preserve">     Nutritional neurobiology</t>
  </si>
  <si>
    <t xml:space="preserve">     Nutritional neuroscience and aging</t>
  </si>
  <si>
    <t xml:space="preserve">     Proteomics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</si>
  <si>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</si>
  <si>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</si>
  <si>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</si>
  <si>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</si>
  <si>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Viruses and obesity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</si>
  <si>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</si>
  <si>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</si>
  <si>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</si>
  <si>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Body composition laboratory</t>
  </si>
  <si>
    <t xml:space="preserve">     Clinical research</t>
  </si>
  <si>
    <t xml:space="preserve">     Dietary assessment and food analysis</t>
  </si>
  <si>
    <t xml:space="preserve">     Gender and smoking behavior</t>
  </si>
  <si>
    <t xml:space="preserve">     Health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</si>
  <si>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</si>
  <si>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</si>
  <si>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</si>
  <si>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</si>
  <si>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</si>
  <si>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Nutrition and chronic disease</t>
  </si>
  <si>
    <t xml:space="preserve">     Outpatient clinic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</si>
  <si>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</si>
  <si>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</si>
  <si>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</si>
  <si>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</si>
  <si>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</si>
  <si>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</si>
  <si>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</si>
  <si>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Central receiving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</si>
  <si>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</si>
  <si>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</si>
  <si>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</si>
  <si>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</si>
  <si>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Cell biology</t>
  </si>
  <si>
    <t xml:space="preserve">     Maternal biology</t>
  </si>
  <si>
    <t xml:space="preserve">     Exercise testing</t>
  </si>
  <si>
    <t xml:space="preserve">     Preventive medicine</t>
  </si>
  <si>
    <t xml:space="preserve">     Regulation of gene expression</t>
  </si>
  <si>
    <t xml:space="preserve">     Other</t>
  </si>
  <si>
    <t xml:space="preserve">     Inflammation and neurodegeneration</t>
  </si>
  <si>
    <t xml:space="preserve">     Neuroendocrinology immunology</t>
  </si>
  <si>
    <t xml:space="preserve">     MRS laboratory</t>
  </si>
  <si>
    <t xml:space="preserve">     Recruiting</t>
  </si>
  <si>
    <t xml:space="preserve">   Population science-</t>
  </si>
  <si>
    <t xml:space="preserve">      Associate Executive Director for population science</t>
  </si>
  <si>
    <t xml:space="preserve">         Total population science</t>
  </si>
  <si>
    <t xml:space="preserve">  Population science support-</t>
  </si>
  <si>
    <t xml:space="preserve">     Associate Executive Director for administration</t>
  </si>
  <si>
    <t xml:space="preserve">   Auxiliary enterprises--</t>
  </si>
  <si>
    <t xml:space="preserve">       Expenditures</t>
  </si>
  <si>
    <t xml:space="preserve">     Ingestive behavior</t>
  </si>
  <si>
    <t>ANALYSIS C-2B</t>
  </si>
  <si>
    <t>Current Restricted Fund Expenditures</t>
  </si>
  <si>
    <t xml:space="preserve">     Epigenetics and obesity</t>
  </si>
  <si>
    <t xml:space="preserve">     Leptin signaling</t>
  </si>
  <si>
    <t xml:space="preserve">     Postdoctoral research</t>
  </si>
  <si>
    <t xml:space="preserve">     Walking behavior</t>
  </si>
  <si>
    <t xml:space="preserve">     Social epidemiology</t>
  </si>
  <si>
    <t xml:space="preserve">     Associate Executive Director for population science</t>
  </si>
  <si>
    <t xml:space="preserve">     Epidemiology of chronic diseases</t>
  </si>
  <si>
    <t xml:space="preserve">     Nutrition and neural signaling</t>
  </si>
  <si>
    <t xml:space="preserve">     Oxidative stress and disease</t>
  </si>
  <si>
    <t xml:space="preserve">     Inactivity physiology</t>
  </si>
  <si>
    <t xml:space="preserve">     Health economics</t>
  </si>
  <si>
    <t xml:space="preserve">     Royalty distributions</t>
  </si>
  <si>
    <t xml:space="preserve">     Sleep laboratory</t>
  </si>
  <si>
    <t xml:space="preserve">     Physical activity epidemiology</t>
  </si>
  <si>
    <t xml:space="preserve">     Genomics core</t>
  </si>
  <si>
    <t xml:space="preserve">     Recruiting core</t>
  </si>
  <si>
    <t xml:space="preserve">     Sponsored projects </t>
  </si>
  <si>
    <t xml:space="preserve">  Scholarships and fellowships</t>
  </si>
  <si>
    <t xml:space="preserve">     Neurotrauma and nutrition</t>
  </si>
  <si>
    <t xml:space="preserve">     Ubiquitin laboratory</t>
  </si>
  <si>
    <t xml:space="preserve">        Total population science support</t>
  </si>
  <si>
    <t xml:space="preserve">           Total expenditures</t>
  </si>
  <si>
    <t xml:space="preserve">             Total education and general expenditures</t>
  </si>
  <si>
    <t xml:space="preserve">             Total auxiliary enterprises</t>
  </si>
  <si>
    <t xml:space="preserve">                Total expenditures and transfers</t>
  </si>
  <si>
    <t xml:space="preserve">     Adipocyte</t>
  </si>
  <si>
    <t xml:space="preserve">     Skeletal muscle metabolism II</t>
  </si>
  <si>
    <t xml:space="preserve">     Nutritional epidemiology</t>
  </si>
  <si>
    <t xml:space="preserve">     LSU-icon</t>
  </si>
  <si>
    <t xml:space="preserve">     Population science</t>
  </si>
  <si>
    <t xml:space="preserve">     Reproductive endocrinology and women's health</t>
  </si>
  <si>
    <t xml:space="preserve">     Comparative metabolic core</t>
  </si>
  <si>
    <t>For the year ended June 30, 2013</t>
  </si>
  <si>
    <t xml:space="preserve">     Bioactive screening laboratory</t>
  </si>
  <si>
    <t xml:space="preserve">     Nutritional physiology laboratory</t>
  </si>
  <si>
    <t xml:space="preserve">     Louisiana clinical and translational science center</t>
  </si>
  <si>
    <t xml:space="preserve">     Physical activity and ethnic minority health</t>
  </si>
  <si>
    <t xml:space="preserve">     Basic sciences for obesity and diabetes</t>
  </si>
  <si>
    <t xml:space="preserve">     Cell biology imaging core</t>
  </si>
  <si>
    <t xml:space="preserve">     Associate executive director for obesity and diabetes</t>
  </si>
  <si>
    <t xml:space="preserve">     Core services and resources</t>
  </si>
  <si>
    <t xml:space="preserve">     Utilities</t>
  </si>
  <si>
    <t xml:space="preserve"> Division of education</t>
  </si>
  <si>
    <t xml:space="preserve">      Behavioral sciences and epidemiology</t>
  </si>
  <si>
    <t xml:space="preserve">     John S. McIlhenny skeletal muscle physiology II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</si>
</sst>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5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1981200</xdr:colOff>
      <xdr:row>5</xdr:row>
      <xdr:rowOff>190500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98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03"/>
  <sheetViews>
    <sheetView showGridLines="0" tabSelected="1" defaultGridColor="0" zoomScaleSheetLayoutView="100" zoomScalePageLayoutView="0" colorId="22" workbookViewId="0" topLeftCell="A1">
      <selection activeCell="A1" sqref="A1"/>
    </sheetView>
  </sheetViews>
  <sheetFormatPr defaultColWidth="9.140625" defaultRowHeight="12"/>
  <cols>
    <col min="1" max="1" width="45.57421875" style="2" bestFit="1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3.00390625" style="2" customWidth="1"/>
    <col min="8" max="8" width="1.57421875" style="2" customWidth="1"/>
    <col min="9" max="9" width="12.7109375" style="2" customWidth="1"/>
    <col min="10" max="10" width="1.57421875" style="2" customWidth="1"/>
    <col min="11" max="11" width="13.28125" style="2" customWidth="1"/>
    <col min="12" max="12" width="1.57421875" style="2" customWidth="1"/>
    <col min="13" max="13" width="13.421875" style="2" customWidth="1"/>
    <col min="14" max="14" width="1.57421875" style="2" customWidth="1"/>
    <col min="15" max="15" width="12.421875" style="2" customWidth="1"/>
    <col min="16" max="16" width="1.57421875" style="2" customWidth="1"/>
    <col min="17" max="17" width="12.57421875" style="2" customWidth="1"/>
    <col min="18" max="21" width="7.57421875" style="2" customWidth="1"/>
    <col min="22" max="16384" width="9.00390625" style="1" customWidth="1"/>
  </cols>
  <sheetData>
    <row r="1" spans="1:256" s="3" customFormat="1" ht="12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" customFormat="1" ht="10.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4" customFormat="1" ht="16.5">
      <c r="A3" s="36"/>
      <c r="B3" s="7"/>
      <c r="C3" s="35" t="s">
        <v>96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" customFormat="1" ht="8.25" customHeight="1">
      <c r="A4" s="36"/>
      <c r="B4" s="7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" customFormat="1" ht="16.5">
      <c r="A5" s="36"/>
      <c r="B5" s="8"/>
      <c r="C5" s="35" t="s">
        <v>97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16.5">
      <c r="A6" s="36"/>
      <c r="B6" s="7"/>
      <c r="C6" s="35" t="s">
        <v>130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4" customFormat="1" ht="10.5" customHeigh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3" customFormat="1" ht="1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1" s="25" customFormat="1" ht="13.5">
      <c r="A10" s="14"/>
      <c r="B10" s="14"/>
      <c r="C10" s="34" t="s">
        <v>1</v>
      </c>
      <c r="D10" s="34"/>
      <c r="E10" s="34"/>
      <c r="F10" s="34"/>
      <c r="G10" s="34"/>
      <c r="H10" s="34"/>
      <c r="I10" s="34"/>
      <c r="J10" s="14"/>
      <c r="K10" s="14"/>
      <c r="L10" s="14"/>
      <c r="M10" s="27" t="s">
        <v>2</v>
      </c>
      <c r="N10" s="27"/>
      <c r="O10" s="27"/>
      <c r="P10" s="27"/>
      <c r="Q10" s="27"/>
      <c r="R10" s="14"/>
      <c r="S10" s="14"/>
      <c r="T10" s="14"/>
      <c r="U10" s="14"/>
    </row>
    <row r="11" spans="1:21" s="25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2" t="s">
        <v>3</v>
      </c>
      <c r="R11" s="14"/>
      <c r="S11" s="14"/>
      <c r="T11" s="14"/>
      <c r="U11" s="14"/>
    </row>
    <row r="12" spans="1:21" s="25" customFormat="1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2" t="s">
        <v>4</v>
      </c>
      <c r="N12" s="14"/>
      <c r="O12" s="14"/>
      <c r="P12" s="14"/>
      <c r="Q12" s="22" t="s">
        <v>5</v>
      </c>
      <c r="R12" s="14"/>
      <c r="S12" s="14"/>
      <c r="T12" s="14"/>
      <c r="U12" s="14"/>
    </row>
    <row r="13" spans="1:21" s="25" customFormat="1" ht="13.5">
      <c r="A13" s="14"/>
      <c r="B13" s="14"/>
      <c r="C13" s="23" t="s">
        <v>6</v>
      </c>
      <c r="D13" s="24"/>
      <c r="E13" s="23" t="s">
        <v>7</v>
      </c>
      <c r="F13" s="24"/>
      <c r="G13" s="23" t="s">
        <v>8</v>
      </c>
      <c r="H13" s="24"/>
      <c r="I13" s="23" t="s">
        <v>9</v>
      </c>
      <c r="J13" s="24"/>
      <c r="K13" s="23" t="s">
        <v>10</v>
      </c>
      <c r="L13" s="24"/>
      <c r="M13" s="23" t="s">
        <v>11</v>
      </c>
      <c r="N13" s="24"/>
      <c r="O13" s="23" t="s">
        <v>12</v>
      </c>
      <c r="P13" s="24"/>
      <c r="Q13" s="23" t="s">
        <v>13</v>
      </c>
      <c r="R13" s="14"/>
      <c r="S13" s="14"/>
      <c r="T13" s="14"/>
      <c r="U13" s="14"/>
    </row>
    <row r="14" spans="1:21" s="18" customFormat="1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8" customFormat="1" ht="13.5" customHeight="1">
      <c r="A15" s="15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8" customFormat="1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8" customFormat="1" ht="13.5" customHeight="1">
      <c r="A17" s="15" t="s">
        <v>16</v>
      </c>
      <c r="B17" s="16" t="s">
        <v>14</v>
      </c>
      <c r="C17" s="15" t="s">
        <v>14</v>
      </c>
      <c r="D17" s="15"/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 t="s">
        <v>14</v>
      </c>
      <c r="P17" s="15" t="s">
        <v>14</v>
      </c>
      <c r="Q17" s="15" t="s">
        <v>14</v>
      </c>
      <c r="R17" s="15"/>
      <c r="S17" s="15"/>
      <c r="T17" s="15"/>
      <c r="U17" s="15"/>
    </row>
    <row r="18" spans="1:21" s="18" customFormat="1" ht="13.5" customHeight="1">
      <c r="A18" s="15" t="s">
        <v>21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8" customFormat="1" ht="13.5" customHeight="1">
      <c r="A19" s="15" t="s">
        <v>31</v>
      </c>
      <c r="B19" s="16"/>
      <c r="C19" s="26">
        <v>0</v>
      </c>
      <c r="D19" s="15"/>
      <c r="E19" s="26">
        <v>0</v>
      </c>
      <c r="F19" s="15"/>
      <c r="G19" s="26">
        <v>274648</v>
      </c>
      <c r="H19" s="15"/>
      <c r="I19" s="26">
        <v>0</v>
      </c>
      <c r="J19" s="15"/>
      <c r="K19" s="26">
        <f>IF(SUM(C19:I19)=SUM(M19:Q19),SUM(M19:Q19),SUM(M19:Q19)-SUM(C19:I19))</f>
        <v>274648</v>
      </c>
      <c r="L19" s="15"/>
      <c r="M19" s="26">
        <v>268504</v>
      </c>
      <c r="N19" s="15"/>
      <c r="O19" s="26">
        <f>-1+6145</f>
        <v>6144</v>
      </c>
      <c r="P19" s="15"/>
      <c r="Q19" s="26">
        <v>0</v>
      </c>
      <c r="R19" s="15"/>
      <c r="S19" s="15"/>
      <c r="T19" s="15"/>
      <c r="U19" s="15"/>
    </row>
    <row r="20" spans="1:21" s="18" customFormat="1" ht="13.5" customHeight="1">
      <c r="A20" s="15" t="s">
        <v>32</v>
      </c>
      <c r="B20" s="16"/>
      <c r="C20" s="15">
        <v>0</v>
      </c>
      <c r="D20" s="15"/>
      <c r="E20" s="15">
        <v>0</v>
      </c>
      <c r="F20" s="15"/>
      <c r="G20" s="15">
        <v>0</v>
      </c>
      <c r="H20" s="15"/>
      <c r="I20" s="15">
        <v>656335</v>
      </c>
      <c r="J20" s="15"/>
      <c r="K20" s="15">
        <f>IF(SUM(C20:I20)=SUM(M20:Q20),SUM(M20:Q20),SUM(M20:Q20)-SUM(C20:I20))</f>
        <v>656335</v>
      </c>
      <c r="L20" s="15"/>
      <c r="M20" s="15">
        <v>0</v>
      </c>
      <c r="N20" s="15"/>
      <c r="O20" s="15">
        <v>656335</v>
      </c>
      <c r="P20" s="15"/>
      <c r="Q20" s="15">
        <v>0</v>
      </c>
      <c r="R20" s="15"/>
      <c r="S20" s="15"/>
      <c r="T20" s="15"/>
      <c r="U20" s="15"/>
    </row>
    <row r="21" spans="1:21" s="18" customFormat="1" ht="13.5" customHeight="1">
      <c r="A21" s="15" t="s">
        <v>123</v>
      </c>
      <c r="B21" s="16"/>
      <c r="C21" s="15">
        <v>0</v>
      </c>
      <c r="D21" s="15"/>
      <c r="E21" s="15">
        <v>633641</v>
      </c>
      <c r="F21" s="15"/>
      <c r="G21" s="15">
        <v>66544</v>
      </c>
      <c r="H21" s="15"/>
      <c r="I21" s="15">
        <v>1530</v>
      </c>
      <c r="J21" s="15"/>
      <c r="K21" s="15">
        <f>IF(SUM(C21:I21)=SUM(M21:Q21),SUM(M21:Q21),SUM(M21:Q21)-SUM(C21:I21))</f>
        <v>701715</v>
      </c>
      <c r="L21" s="15"/>
      <c r="M21" s="15">
        <v>296147</v>
      </c>
      <c r="N21" s="15"/>
      <c r="O21" s="15">
        <v>202261</v>
      </c>
      <c r="P21" s="15"/>
      <c r="Q21" s="15">
        <v>203307</v>
      </c>
      <c r="R21" s="15"/>
      <c r="S21" s="15"/>
      <c r="T21" s="15"/>
      <c r="U21" s="15"/>
    </row>
    <row r="22" spans="1:21" s="18" customFormat="1" ht="13.5" customHeight="1">
      <c r="A22" s="15" t="s">
        <v>33</v>
      </c>
      <c r="B22" s="16"/>
      <c r="C22" s="15">
        <v>0</v>
      </c>
      <c r="D22" s="15"/>
      <c r="E22" s="15">
        <v>1346579</v>
      </c>
      <c r="F22" s="15"/>
      <c r="G22" s="15">
        <v>124927</v>
      </c>
      <c r="H22" s="15"/>
      <c r="I22" s="15">
        <v>37534</v>
      </c>
      <c r="J22" s="15"/>
      <c r="K22" s="15">
        <f aca="true" t="shared" si="0" ref="K22:K106">IF(SUM(C22:I22)=SUM(M22:Q22),SUM(M22:Q22),SUM(M22:Q22)-SUM(C22:I22))</f>
        <v>1509040</v>
      </c>
      <c r="L22" s="15"/>
      <c r="M22" s="15">
        <v>834346</v>
      </c>
      <c r="N22" s="15"/>
      <c r="O22" s="15">
        <v>221925</v>
      </c>
      <c r="P22" s="15"/>
      <c r="Q22" s="15">
        <v>452769</v>
      </c>
      <c r="R22" s="15"/>
      <c r="S22" s="15"/>
      <c r="T22" s="15"/>
      <c r="U22" s="15"/>
    </row>
    <row r="23" spans="1:21" s="18" customFormat="1" ht="13.5" customHeight="1">
      <c r="A23" s="15" t="s">
        <v>34</v>
      </c>
      <c r="B23" s="16"/>
      <c r="C23" s="15">
        <v>0</v>
      </c>
      <c r="D23" s="15"/>
      <c r="E23" s="15">
        <v>960163</v>
      </c>
      <c r="F23" s="15"/>
      <c r="G23" s="15">
        <v>151397</v>
      </c>
      <c r="H23" s="15"/>
      <c r="I23" s="15">
        <v>0</v>
      </c>
      <c r="J23" s="15"/>
      <c r="K23" s="15">
        <f t="shared" si="0"/>
        <v>1111560</v>
      </c>
      <c r="L23" s="15"/>
      <c r="M23" s="15">
        <v>493339</v>
      </c>
      <c r="N23" s="15"/>
      <c r="O23" s="15">
        <v>281684</v>
      </c>
      <c r="P23" s="15"/>
      <c r="Q23" s="15">
        <f>1+336536</f>
        <v>336537</v>
      </c>
      <c r="R23" s="15"/>
      <c r="S23" s="15"/>
      <c r="T23" s="15"/>
      <c r="U23" s="15"/>
    </row>
    <row r="24" spans="1:21" s="18" customFormat="1" ht="13.5" customHeight="1">
      <c r="A24" s="15" t="s">
        <v>35</v>
      </c>
      <c r="B24" s="16"/>
      <c r="C24" s="15">
        <v>0</v>
      </c>
      <c r="D24" s="15"/>
      <c r="E24" s="15">
        <v>411014</v>
      </c>
      <c r="F24" s="15"/>
      <c r="G24" s="15">
        <v>0</v>
      </c>
      <c r="H24" s="15"/>
      <c r="I24" s="15">
        <v>0</v>
      </c>
      <c r="J24" s="15"/>
      <c r="K24" s="15">
        <f t="shared" si="0"/>
        <v>411014</v>
      </c>
      <c r="L24" s="15"/>
      <c r="M24" s="15">
        <v>244614</v>
      </c>
      <c r="N24" s="15"/>
      <c r="O24" s="15">
        <v>33831</v>
      </c>
      <c r="P24" s="15"/>
      <c r="Q24" s="15">
        <v>132569</v>
      </c>
      <c r="R24" s="15"/>
      <c r="S24" s="15"/>
      <c r="T24" s="15"/>
      <c r="U24" s="15"/>
    </row>
    <row r="25" spans="1:21" s="18" customFormat="1" ht="13.5" customHeight="1">
      <c r="A25" s="15" t="s">
        <v>36</v>
      </c>
      <c r="B25" s="16"/>
      <c r="C25" s="15">
        <v>0</v>
      </c>
      <c r="D25" s="15"/>
      <c r="E25" s="15">
        <v>197394</v>
      </c>
      <c r="F25" s="15"/>
      <c r="G25" s="15">
        <v>0</v>
      </c>
      <c r="H25" s="15"/>
      <c r="I25" s="15">
        <v>0</v>
      </c>
      <c r="J25" s="15"/>
      <c r="K25" s="15">
        <f t="shared" si="0"/>
        <v>197394</v>
      </c>
      <c r="L25" s="15"/>
      <c r="M25" s="15">
        <v>112673</v>
      </c>
      <c r="N25" s="15"/>
      <c r="O25" s="15">
        <v>21608</v>
      </c>
      <c r="P25" s="15"/>
      <c r="Q25" s="15">
        <v>63113</v>
      </c>
      <c r="R25" s="15"/>
      <c r="S25" s="15"/>
      <c r="T25" s="15"/>
      <c r="U25" s="15"/>
    </row>
    <row r="26" spans="1:21" s="18" customFormat="1" ht="13.5" customHeight="1">
      <c r="A26" s="15" t="s">
        <v>131</v>
      </c>
      <c r="B26" s="16"/>
      <c r="C26" s="15">
        <v>115067</v>
      </c>
      <c r="D26" s="15"/>
      <c r="E26" s="15">
        <v>0</v>
      </c>
      <c r="F26" s="15"/>
      <c r="G26" s="15">
        <v>0</v>
      </c>
      <c r="H26" s="15"/>
      <c r="I26" s="15">
        <v>2566</v>
      </c>
      <c r="J26" s="15"/>
      <c r="K26" s="15">
        <f t="shared" si="0"/>
        <v>117633</v>
      </c>
      <c r="L26" s="15"/>
      <c r="M26" s="15">
        <v>87608</v>
      </c>
      <c r="N26" s="15"/>
      <c r="O26" s="15">
        <v>8123</v>
      </c>
      <c r="P26" s="15"/>
      <c r="Q26" s="15">
        <v>21902</v>
      </c>
      <c r="R26" s="15"/>
      <c r="S26" s="15"/>
      <c r="T26" s="15"/>
      <c r="U26" s="15"/>
    </row>
    <row r="27" spans="1:21" s="18" customFormat="1" ht="13.5" customHeight="1">
      <c r="A27" s="15" t="s">
        <v>78</v>
      </c>
      <c r="B27" s="16"/>
      <c r="C27" s="15">
        <v>61937</v>
      </c>
      <c r="D27" s="15"/>
      <c r="E27" s="15">
        <v>346005</v>
      </c>
      <c r="F27" s="15"/>
      <c r="G27" s="15">
        <v>0</v>
      </c>
      <c r="H27" s="15"/>
      <c r="I27" s="15">
        <v>0</v>
      </c>
      <c r="J27" s="15"/>
      <c r="K27" s="15">
        <f t="shared" si="0"/>
        <v>407942</v>
      </c>
      <c r="L27" s="15"/>
      <c r="M27" s="15">
        <v>189882</v>
      </c>
      <c r="N27" s="15"/>
      <c r="O27" s="15">
        <v>105842</v>
      </c>
      <c r="P27" s="15"/>
      <c r="Q27" s="15">
        <v>112218</v>
      </c>
      <c r="R27" s="15"/>
      <c r="S27" s="15"/>
      <c r="T27" s="15"/>
      <c r="U27" s="15"/>
    </row>
    <row r="28" spans="1:21" s="18" customFormat="1" ht="13.5" customHeight="1">
      <c r="A28" s="15" t="s">
        <v>37</v>
      </c>
      <c r="B28" s="16"/>
      <c r="C28" s="15">
        <v>0</v>
      </c>
      <c r="D28" s="15"/>
      <c r="E28" s="15">
        <v>289788</v>
      </c>
      <c r="F28" s="15"/>
      <c r="G28" s="15">
        <v>65652</v>
      </c>
      <c r="H28" s="15"/>
      <c r="I28" s="15">
        <v>0</v>
      </c>
      <c r="J28" s="15"/>
      <c r="K28" s="15">
        <f t="shared" si="0"/>
        <v>355440</v>
      </c>
      <c r="L28" s="15"/>
      <c r="M28" s="15">
        <v>119621</v>
      </c>
      <c r="N28" s="15"/>
      <c r="O28" s="15">
        <v>155158</v>
      </c>
      <c r="P28" s="15"/>
      <c r="Q28" s="15">
        <f>-1+80662</f>
        <v>80661</v>
      </c>
      <c r="R28" s="15"/>
      <c r="S28" s="15"/>
      <c r="T28" s="15"/>
      <c r="U28" s="15"/>
    </row>
    <row r="29" spans="1:21" s="18" customFormat="1" ht="13.5" customHeight="1">
      <c r="A29" s="15" t="s">
        <v>98</v>
      </c>
      <c r="B29" s="16"/>
      <c r="C29" s="15">
        <v>3377</v>
      </c>
      <c r="D29" s="15"/>
      <c r="E29" s="15">
        <v>188873</v>
      </c>
      <c r="F29" s="15"/>
      <c r="G29" s="15">
        <v>0</v>
      </c>
      <c r="H29" s="15"/>
      <c r="I29" s="15">
        <v>20489</v>
      </c>
      <c r="J29" s="15"/>
      <c r="K29" s="15">
        <f t="shared" si="0"/>
        <v>212739</v>
      </c>
      <c r="L29" s="15"/>
      <c r="M29" s="15">
        <v>113262</v>
      </c>
      <c r="N29" s="15"/>
      <c r="O29" s="15">
        <v>38220</v>
      </c>
      <c r="P29" s="15"/>
      <c r="Q29" s="15">
        <f>1+61256</f>
        <v>61257</v>
      </c>
      <c r="R29" s="15"/>
      <c r="S29" s="15"/>
      <c r="T29" s="15"/>
      <c r="U29" s="15"/>
    </row>
    <row r="30" spans="1:21" s="18" customFormat="1" ht="13.5" customHeight="1">
      <c r="A30" s="15" t="s">
        <v>38</v>
      </c>
      <c r="B30" s="16" t="s">
        <v>14</v>
      </c>
      <c r="C30" s="15">
        <v>0</v>
      </c>
      <c r="D30" s="15"/>
      <c r="E30" s="15">
        <v>512830</v>
      </c>
      <c r="F30" s="15"/>
      <c r="G30" s="15">
        <v>212878</v>
      </c>
      <c r="H30" s="15"/>
      <c r="I30" s="15">
        <v>0</v>
      </c>
      <c r="J30" s="15"/>
      <c r="K30" s="15">
        <f t="shared" si="0"/>
        <v>725708</v>
      </c>
      <c r="L30" s="15"/>
      <c r="M30" s="15">
        <v>502220</v>
      </c>
      <c r="N30" s="15"/>
      <c r="O30" s="15">
        <v>57064</v>
      </c>
      <c r="P30" s="15"/>
      <c r="Q30" s="15">
        <v>166424</v>
      </c>
      <c r="R30" s="15"/>
      <c r="S30" s="15"/>
      <c r="T30" s="15"/>
      <c r="U30" s="15"/>
    </row>
    <row r="31" spans="1:21" s="18" customFormat="1" ht="13.5" customHeight="1">
      <c r="A31" s="15" t="s">
        <v>84</v>
      </c>
      <c r="B31" s="16"/>
      <c r="C31" s="15">
        <v>33608</v>
      </c>
      <c r="D31" s="15"/>
      <c r="E31" s="15">
        <v>543715</v>
      </c>
      <c r="F31" s="15"/>
      <c r="G31" s="15">
        <v>682096</v>
      </c>
      <c r="H31" s="15"/>
      <c r="I31" s="15">
        <v>253832</v>
      </c>
      <c r="J31" s="15"/>
      <c r="K31" s="15">
        <f t="shared" si="0"/>
        <v>1513251</v>
      </c>
      <c r="L31" s="15"/>
      <c r="M31" s="15">
        <v>986209</v>
      </c>
      <c r="N31" s="15"/>
      <c r="O31" s="15">
        <v>248660</v>
      </c>
      <c r="P31" s="15"/>
      <c r="Q31" s="15">
        <f>-1+278383</f>
        <v>278382</v>
      </c>
      <c r="R31" s="15"/>
      <c r="S31" s="15"/>
      <c r="T31" s="15"/>
      <c r="U31" s="15"/>
    </row>
    <row r="32" spans="1:21" s="18" customFormat="1" ht="13.5" customHeight="1">
      <c r="A32" s="15" t="s">
        <v>99</v>
      </c>
      <c r="B32" s="16"/>
      <c r="C32" s="15">
        <v>0</v>
      </c>
      <c r="D32" s="15"/>
      <c r="E32" s="15">
        <v>397447</v>
      </c>
      <c r="F32" s="15"/>
      <c r="G32" s="15">
        <v>0</v>
      </c>
      <c r="H32" s="15"/>
      <c r="I32" s="15">
        <v>45634</v>
      </c>
      <c r="J32" s="15"/>
      <c r="K32" s="15">
        <f t="shared" si="0"/>
        <v>443081</v>
      </c>
      <c r="L32" s="15"/>
      <c r="M32" s="15">
        <v>151695</v>
      </c>
      <c r="N32" s="15"/>
      <c r="O32" s="15">
        <v>175532</v>
      </c>
      <c r="P32" s="15"/>
      <c r="Q32" s="15">
        <v>115854</v>
      </c>
      <c r="R32" s="15"/>
      <c r="S32" s="15"/>
      <c r="T32" s="15"/>
      <c r="U32" s="15"/>
    </row>
    <row r="33" spans="1:21" s="18" customFormat="1" ht="13.5" customHeight="1">
      <c r="A33" s="15" t="s">
        <v>79</v>
      </c>
      <c r="B33" s="16" t="s">
        <v>14</v>
      </c>
      <c r="C33" s="15">
        <v>0</v>
      </c>
      <c r="D33" s="15"/>
      <c r="E33" s="15">
        <v>39</v>
      </c>
      <c r="F33" s="15"/>
      <c r="G33" s="15">
        <v>56502</v>
      </c>
      <c r="H33" s="15"/>
      <c r="I33" s="15">
        <v>0</v>
      </c>
      <c r="J33" s="15"/>
      <c r="K33" s="15">
        <f t="shared" si="0"/>
        <v>56541</v>
      </c>
      <c r="L33" s="15"/>
      <c r="M33" s="15">
        <v>53953</v>
      </c>
      <c r="N33" s="15"/>
      <c r="O33" s="15">
        <v>2576</v>
      </c>
      <c r="P33" s="15"/>
      <c r="Q33" s="15">
        <f>-1+13</f>
        <v>12</v>
      </c>
      <c r="R33" s="15"/>
      <c r="S33" s="15"/>
      <c r="T33" s="15"/>
      <c r="U33" s="15"/>
    </row>
    <row r="34" spans="1:21" s="18" customFormat="1" ht="13.5" customHeight="1">
      <c r="A34" s="15" t="s">
        <v>39</v>
      </c>
      <c r="B34" s="16" t="s">
        <v>14</v>
      </c>
      <c r="C34" s="15">
        <v>0</v>
      </c>
      <c r="D34" s="15"/>
      <c r="E34" s="15">
        <v>356303</v>
      </c>
      <c r="F34" s="15"/>
      <c r="G34" s="15">
        <v>0</v>
      </c>
      <c r="H34" s="15"/>
      <c r="I34" s="15">
        <v>0</v>
      </c>
      <c r="J34" s="15"/>
      <c r="K34" s="15">
        <f t="shared" si="0"/>
        <v>356303</v>
      </c>
      <c r="L34" s="15"/>
      <c r="M34" s="15">
        <v>81874</v>
      </c>
      <c r="N34" s="15"/>
      <c r="O34" s="15">
        <v>220318</v>
      </c>
      <c r="P34" s="15"/>
      <c r="Q34" s="15">
        <f>-1+54112</f>
        <v>54111</v>
      </c>
      <c r="R34" s="15"/>
      <c r="S34" s="15"/>
      <c r="T34" s="15"/>
      <c r="U34" s="15"/>
    </row>
    <row r="35" spans="1:21" s="18" customFormat="1" ht="13.5" customHeight="1">
      <c r="A35" s="15" t="s">
        <v>40</v>
      </c>
      <c r="B35" s="16"/>
      <c r="C35" s="15">
        <v>0</v>
      </c>
      <c r="D35" s="15"/>
      <c r="E35" s="15">
        <v>28811</v>
      </c>
      <c r="F35" s="15"/>
      <c r="G35" s="15">
        <v>0</v>
      </c>
      <c r="H35" s="15"/>
      <c r="I35" s="15">
        <v>0</v>
      </c>
      <c r="J35" s="15"/>
      <c r="K35" s="15">
        <f t="shared" si="0"/>
        <v>28811</v>
      </c>
      <c r="L35" s="15"/>
      <c r="M35" s="15">
        <v>19947</v>
      </c>
      <c r="N35" s="15"/>
      <c r="O35" s="15">
        <v>3943</v>
      </c>
      <c r="P35" s="15"/>
      <c r="Q35" s="15">
        <v>4921</v>
      </c>
      <c r="R35" s="15"/>
      <c r="S35" s="15"/>
      <c r="T35" s="15"/>
      <c r="U35" s="15"/>
    </row>
    <row r="36" spans="1:21" s="18" customFormat="1" ht="13.5" customHeight="1">
      <c r="A36" s="15" t="s">
        <v>85</v>
      </c>
      <c r="B36" s="16"/>
      <c r="C36" s="15">
        <v>0</v>
      </c>
      <c r="D36" s="15"/>
      <c r="E36" s="15">
        <v>387595</v>
      </c>
      <c r="F36" s="15"/>
      <c r="G36" s="15">
        <v>108147</v>
      </c>
      <c r="H36" s="15"/>
      <c r="I36" s="15">
        <v>264359</v>
      </c>
      <c r="J36" s="15"/>
      <c r="K36" s="15">
        <f>IF(SUM(C36:I36)=SUM(M36:Q36),SUM(M36:Q36),SUM(M36:Q36)-SUM(C36:I36))</f>
        <v>760101</v>
      </c>
      <c r="L36" s="15"/>
      <c r="M36" s="15">
        <v>423219</v>
      </c>
      <c r="N36" s="15"/>
      <c r="O36" s="15">
        <v>211724</v>
      </c>
      <c r="P36" s="15"/>
      <c r="Q36" s="15">
        <f>-1+125159</f>
        <v>125158</v>
      </c>
      <c r="R36" s="15"/>
      <c r="S36" s="15"/>
      <c r="T36" s="15"/>
      <c r="U36" s="15"/>
    </row>
    <row r="37" spans="1:21" s="18" customFormat="1" ht="13.5" customHeight="1">
      <c r="A37" s="15" t="s">
        <v>41</v>
      </c>
      <c r="B37" s="16"/>
      <c r="C37" s="15">
        <v>0</v>
      </c>
      <c r="D37" s="15"/>
      <c r="E37" s="15">
        <v>478798</v>
      </c>
      <c r="F37" s="15"/>
      <c r="G37" s="15">
        <v>30120</v>
      </c>
      <c r="H37" s="15"/>
      <c r="I37" s="15">
        <v>1500</v>
      </c>
      <c r="J37" s="15"/>
      <c r="K37" s="15">
        <f t="shared" si="0"/>
        <v>510418</v>
      </c>
      <c r="L37" s="15"/>
      <c r="M37" s="15">
        <v>306656</v>
      </c>
      <c r="N37" s="15"/>
      <c r="O37" s="15">
        <v>49330</v>
      </c>
      <c r="P37" s="15"/>
      <c r="Q37" s="15">
        <v>154432</v>
      </c>
      <c r="R37" s="15"/>
      <c r="S37" s="15"/>
      <c r="T37" s="15"/>
      <c r="U37" s="15"/>
    </row>
    <row r="38" spans="1:21" s="18" customFormat="1" ht="13.5" customHeight="1">
      <c r="A38" s="15" t="s">
        <v>42</v>
      </c>
      <c r="B38" s="16"/>
      <c r="C38" s="15">
        <v>0</v>
      </c>
      <c r="D38" s="15"/>
      <c r="E38" s="15">
        <v>264231</v>
      </c>
      <c r="F38" s="15"/>
      <c r="G38" s="15">
        <v>12486</v>
      </c>
      <c r="H38" s="15"/>
      <c r="I38" s="15">
        <v>79948</v>
      </c>
      <c r="J38" s="15"/>
      <c r="K38" s="15">
        <f t="shared" si="0"/>
        <v>356665</v>
      </c>
      <c r="L38" s="15"/>
      <c r="M38" s="15">
        <v>177877</v>
      </c>
      <c r="N38" s="15"/>
      <c r="O38" s="15">
        <v>99603</v>
      </c>
      <c r="P38" s="15"/>
      <c r="Q38" s="15">
        <v>79185</v>
      </c>
      <c r="R38" s="15"/>
      <c r="S38" s="15"/>
      <c r="T38" s="15"/>
      <c r="U38" s="15"/>
    </row>
    <row r="39" spans="1:21" s="18" customFormat="1" ht="13.5" customHeight="1">
      <c r="A39" s="15" t="s">
        <v>116</v>
      </c>
      <c r="B39" s="16"/>
      <c r="C39" s="15">
        <v>0</v>
      </c>
      <c r="D39" s="15"/>
      <c r="E39" s="15">
        <v>63181</v>
      </c>
      <c r="F39" s="15"/>
      <c r="G39" s="15">
        <v>0</v>
      </c>
      <c r="H39" s="15"/>
      <c r="I39" s="15">
        <v>0</v>
      </c>
      <c r="J39" s="15"/>
      <c r="K39" s="15">
        <f t="shared" si="0"/>
        <v>63181</v>
      </c>
      <c r="L39" s="15"/>
      <c r="M39" s="15">
        <v>19285</v>
      </c>
      <c r="N39" s="15"/>
      <c r="O39" s="15">
        <v>43390</v>
      </c>
      <c r="P39" s="15"/>
      <c r="Q39" s="15">
        <f>-1+507</f>
        <v>506</v>
      </c>
      <c r="R39" s="15"/>
      <c r="S39" s="15"/>
      <c r="T39" s="15"/>
      <c r="U39" s="15"/>
    </row>
    <row r="40" spans="1:21" s="18" customFormat="1" ht="13.5" customHeight="1">
      <c r="A40" s="15" t="s">
        <v>105</v>
      </c>
      <c r="B40" s="16"/>
      <c r="C40" s="15">
        <v>0</v>
      </c>
      <c r="D40" s="15"/>
      <c r="E40" s="15">
        <v>140683</v>
      </c>
      <c r="F40" s="15"/>
      <c r="G40" s="15">
        <v>0</v>
      </c>
      <c r="H40" s="15"/>
      <c r="I40" s="15">
        <v>40284</v>
      </c>
      <c r="J40" s="15"/>
      <c r="K40" s="15">
        <f t="shared" si="0"/>
        <v>180967</v>
      </c>
      <c r="L40" s="15"/>
      <c r="M40" s="15">
        <v>146880</v>
      </c>
      <c r="N40" s="15"/>
      <c r="O40" s="15">
        <v>23667</v>
      </c>
      <c r="P40" s="15"/>
      <c r="Q40" s="15">
        <f>-1+10421</f>
        <v>10420</v>
      </c>
      <c r="R40" s="15"/>
      <c r="S40" s="15"/>
      <c r="T40" s="15"/>
      <c r="U40" s="15"/>
    </row>
    <row r="41" spans="1:21" s="18" customFormat="1" ht="13.5" customHeight="1">
      <c r="A41" s="15" t="s">
        <v>43</v>
      </c>
      <c r="B41" s="16"/>
      <c r="C41" s="15">
        <v>0</v>
      </c>
      <c r="D41" s="15"/>
      <c r="E41" s="15">
        <v>342302</v>
      </c>
      <c r="F41" s="15"/>
      <c r="G41" s="15">
        <v>-28457</v>
      </c>
      <c r="H41" s="15"/>
      <c r="I41" s="15">
        <v>90441</v>
      </c>
      <c r="J41" s="15"/>
      <c r="K41" s="15">
        <f t="shared" si="0"/>
        <v>404286</v>
      </c>
      <c r="L41" s="15"/>
      <c r="M41" s="15">
        <v>287011</v>
      </c>
      <c r="N41" s="15"/>
      <c r="O41" s="15">
        <v>13754</v>
      </c>
      <c r="P41" s="15"/>
      <c r="Q41" s="15">
        <f>-1+103522</f>
        <v>103521</v>
      </c>
      <c r="R41" s="15"/>
      <c r="S41" s="15"/>
      <c r="T41" s="15"/>
      <c r="U41" s="15"/>
    </row>
    <row r="42" spans="1:21" s="18" customFormat="1" ht="13.5" customHeight="1">
      <c r="A42" s="15" t="s">
        <v>44</v>
      </c>
      <c r="B42" s="16"/>
      <c r="C42" s="15">
        <v>32537</v>
      </c>
      <c r="D42" s="15"/>
      <c r="E42" s="15">
        <v>84399</v>
      </c>
      <c r="F42" s="15"/>
      <c r="G42" s="15">
        <v>53428</v>
      </c>
      <c r="H42" s="15"/>
      <c r="I42" s="15">
        <v>142529</v>
      </c>
      <c r="J42" s="15"/>
      <c r="K42" s="15">
        <f t="shared" si="0"/>
        <v>312893</v>
      </c>
      <c r="L42" s="15"/>
      <c r="M42" s="15">
        <v>207542</v>
      </c>
      <c r="N42" s="15"/>
      <c r="O42" s="15">
        <v>67278</v>
      </c>
      <c r="P42" s="15"/>
      <c r="Q42" s="15">
        <f>1+38072</f>
        <v>38073</v>
      </c>
      <c r="R42" s="15"/>
      <c r="S42" s="15"/>
      <c r="T42" s="15"/>
      <c r="U42" s="15"/>
    </row>
    <row r="43" spans="1:21" s="18" customFormat="1" ht="13.5" customHeight="1">
      <c r="A43" s="15" t="s">
        <v>132</v>
      </c>
      <c r="B43" s="16"/>
      <c r="C43" s="15">
        <v>0</v>
      </c>
      <c r="D43" s="15"/>
      <c r="E43" s="15">
        <v>112264</v>
      </c>
      <c r="F43" s="15"/>
      <c r="G43" s="15">
        <v>0</v>
      </c>
      <c r="H43" s="15"/>
      <c r="I43" s="15">
        <v>3921</v>
      </c>
      <c r="J43" s="15"/>
      <c r="K43" s="15">
        <f t="shared" si="0"/>
        <v>116185</v>
      </c>
      <c r="L43" s="15"/>
      <c r="M43" s="15">
        <v>102000</v>
      </c>
      <c r="N43" s="15"/>
      <c r="O43" s="15">
        <v>5868</v>
      </c>
      <c r="P43" s="15"/>
      <c r="Q43" s="15">
        <f>1+8316</f>
        <v>8317</v>
      </c>
      <c r="R43" s="15"/>
      <c r="S43" s="15"/>
      <c r="T43" s="15"/>
      <c r="U43" s="15"/>
    </row>
    <row r="44" spans="1:21" s="18" customFormat="1" ht="13.5" customHeight="1">
      <c r="A44" s="15" t="s">
        <v>106</v>
      </c>
      <c r="B44" s="16"/>
      <c r="C44" s="15">
        <v>0</v>
      </c>
      <c r="D44" s="15"/>
      <c r="E44" s="15">
        <v>274145</v>
      </c>
      <c r="F44" s="15"/>
      <c r="G44" s="15">
        <v>29848</v>
      </c>
      <c r="H44" s="15"/>
      <c r="I44" s="15">
        <v>0</v>
      </c>
      <c r="J44" s="15"/>
      <c r="K44" s="15">
        <f t="shared" si="0"/>
        <v>303993</v>
      </c>
      <c r="L44" s="15"/>
      <c r="M44" s="15">
        <v>142422</v>
      </c>
      <c r="N44" s="15"/>
      <c r="O44" s="15">
        <v>72659</v>
      </c>
      <c r="P44" s="15"/>
      <c r="Q44" s="15">
        <v>88912</v>
      </c>
      <c r="R44" s="15"/>
      <c r="S44" s="15"/>
      <c r="T44" s="15"/>
      <c r="U44" s="15"/>
    </row>
    <row r="45" spans="1:21" s="18" customFormat="1" ht="13.5" customHeight="1">
      <c r="A45" s="15" t="s">
        <v>100</v>
      </c>
      <c r="B45" s="16"/>
      <c r="C45" s="15">
        <v>0</v>
      </c>
      <c r="D45" s="15"/>
      <c r="E45" s="15">
        <v>595062</v>
      </c>
      <c r="F45" s="15"/>
      <c r="G45" s="15">
        <v>0</v>
      </c>
      <c r="H45" s="15"/>
      <c r="I45" s="15">
        <v>0</v>
      </c>
      <c r="J45" s="15"/>
      <c r="K45" s="15">
        <f t="shared" si="0"/>
        <v>595062</v>
      </c>
      <c r="L45" s="15"/>
      <c r="M45" s="15">
        <v>375542</v>
      </c>
      <c r="N45" s="15"/>
      <c r="O45" s="15">
        <v>183804</v>
      </c>
      <c r="P45" s="15"/>
      <c r="Q45" s="15">
        <f>1+35715</f>
        <v>35716</v>
      </c>
      <c r="R45" s="15"/>
      <c r="S45" s="15"/>
      <c r="T45" s="15"/>
      <c r="U45" s="15"/>
    </row>
    <row r="46" spans="1:21" s="18" customFormat="1" ht="13.5" customHeight="1">
      <c r="A46" s="15" t="s">
        <v>45</v>
      </c>
      <c r="B46" s="16"/>
      <c r="C46" s="15">
        <v>0</v>
      </c>
      <c r="D46" s="15"/>
      <c r="E46" s="15">
        <v>-337</v>
      </c>
      <c r="F46" s="15"/>
      <c r="G46" s="15">
        <v>21586</v>
      </c>
      <c r="H46" s="15"/>
      <c r="I46" s="15">
        <v>0</v>
      </c>
      <c r="J46" s="15"/>
      <c r="K46" s="15">
        <f t="shared" si="0"/>
        <v>21249</v>
      </c>
      <c r="L46" s="15"/>
      <c r="M46" s="15">
        <v>15781</v>
      </c>
      <c r="N46" s="15"/>
      <c r="O46" s="15">
        <v>-227</v>
      </c>
      <c r="P46" s="15"/>
      <c r="Q46" s="15">
        <f>-1+5696</f>
        <v>5695</v>
      </c>
      <c r="R46" s="15"/>
      <c r="S46" s="15"/>
      <c r="T46" s="15"/>
      <c r="U46" s="15"/>
    </row>
    <row r="47" spans="1:21" s="18" customFormat="1" ht="13.5" customHeight="1">
      <c r="A47" s="15" t="s">
        <v>82</v>
      </c>
      <c r="B47" s="16"/>
      <c r="C47" s="15">
        <v>0</v>
      </c>
      <c r="D47" s="15"/>
      <c r="E47" s="15">
        <v>137</v>
      </c>
      <c r="F47" s="15"/>
      <c r="G47" s="15">
        <v>5635</v>
      </c>
      <c r="H47" s="15"/>
      <c r="I47" s="15">
        <v>123370</v>
      </c>
      <c r="J47" s="15"/>
      <c r="K47" s="15">
        <f>IF(SUM(C47:I47)=SUM(M47:Q47),SUM(M47:Q47),SUM(M47:Q47)-SUM(C47:I47))</f>
        <v>129142</v>
      </c>
      <c r="L47" s="15"/>
      <c r="M47" s="15">
        <v>111006</v>
      </c>
      <c r="N47" s="15"/>
      <c r="O47" s="15">
        <v>16263</v>
      </c>
      <c r="P47" s="15"/>
      <c r="Q47" s="15">
        <f>1+1872</f>
        <v>1873</v>
      </c>
      <c r="R47" s="15"/>
      <c r="S47" s="15"/>
      <c r="T47" s="15"/>
      <c r="U47" s="15"/>
    </row>
    <row r="48" spans="1:21" s="18" customFormat="1" ht="13.5" customHeight="1">
      <c r="A48" s="15" t="s">
        <v>46</v>
      </c>
      <c r="B48" s="16"/>
      <c r="C48" s="15">
        <v>0</v>
      </c>
      <c r="D48" s="15"/>
      <c r="E48" s="15">
        <v>0</v>
      </c>
      <c r="F48" s="15"/>
      <c r="G48" s="15">
        <v>273540</v>
      </c>
      <c r="H48" s="15"/>
      <c r="I48" s="15">
        <v>0</v>
      </c>
      <c r="J48" s="15"/>
      <c r="K48" s="15">
        <f t="shared" si="0"/>
        <v>273540</v>
      </c>
      <c r="L48" s="15"/>
      <c r="M48" s="15">
        <v>182163</v>
      </c>
      <c r="N48" s="15"/>
      <c r="O48" s="15">
        <f>1+91376</f>
        <v>91377</v>
      </c>
      <c r="P48" s="15"/>
      <c r="Q48" s="15">
        <v>0</v>
      </c>
      <c r="R48" s="15"/>
      <c r="S48" s="15"/>
      <c r="T48" s="15"/>
      <c r="U48" s="15"/>
    </row>
    <row r="49" spans="1:21" s="18" customFormat="1" ht="13.5" customHeight="1">
      <c r="A49" s="15" t="s">
        <v>124</v>
      </c>
      <c r="B49" s="16"/>
      <c r="C49" s="15">
        <v>0</v>
      </c>
      <c r="D49" s="15"/>
      <c r="E49" s="15">
        <v>287960</v>
      </c>
      <c r="F49" s="15"/>
      <c r="G49" s="15">
        <v>0</v>
      </c>
      <c r="H49" s="15"/>
      <c r="I49" s="15">
        <v>664</v>
      </c>
      <c r="J49" s="15"/>
      <c r="K49" s="15">
        <f t="shared" si="0"/>
        <v>288624</v>
      </c>
      <c r="L49" s="15"/>
      <c r="M49" s="15">
        <v>156102</v>
      </c>
      <c r="N49" s="15"/>
      <c r="O49" s="15">
        <v>39130</v>
      </c>
      <c r="P49" s="15"/>
      <c r="Q49" s="15">
        <v>93392</v>
      </c>
      <c r="R49" s="15"/>
      <c r="S49" s="15"/>
      <c r="T49" s="15"/>
      <c r="U49" s="15"/>
    </row>
    <row r="50" spans="1:21" s="18" customFormat="1" ht="13.5" customHeight="1">
      <c r="A50" s="15" t="s">
        <v>47</v>
      </c>
      <c r="B50" s="16"/>
      <c r="C50" s="15">
        <v>40222</v>
      </c>
      <c r="D50" s="15"/>
      <c r="E50" s="15">
        <v>91187</v>
      </c>
      <c r="F50" s="15"/>
      <c r="G50" s="15">
        <v>93854</v>
      </c>
      <c r="H50" s="15"/>
      <c r="I50" s="15">
        <v>0</v>
      </c>
      <c r="J50" s="15"/>
      <c r="K50" s="15">
        <f t="shared" si="0"/>
        <v>225263</v>
      </c>
      <c r="L50" s="15"/>
      <c r="M50" s="15">
        <v>126018</v>
      </c>
      <c r="N50" s="15"/>
      <c r="O50" s="15">
        <v>30743</v>
      </c>
      <c r="P50" s="15"/>
      <c r="Q50" s="15">
        <f>1+68501</f>
        <v>68502</v>
      </c>
      <c r="R50" s="15"/>
      <c r="S50" s="15"/>
      <c r="T50" s="15"/>
      <c r="U50" s="15"/>
    </row>
    <row r="51" spans="1:21" s="18" customFormat="1" ht="13.5" customHeight="1">
      <c r="A51" s="15" t="s">
        <v>48</v>
      </c>
      <c r="B51" s="16"/>
      <c r="C51" s="15">
        <v>0</v>
      </c>
      <c r="D51" s="15"/>
      <c r="E51" s="15">
        <v>713971</v>
      </c>
      <c r="F51" s="15"/>
      <c r="G51" s="15">
        <v>65895</v>
      </c>
      <c r="H51" s="15"/>
      <c r="I51" s="15">
        <v>40216</v>
      </c>
      <c r="J51" s="15"/>
      <c r="K51" s="15">
        <f t="shared" si="0"/>
        <v>820082</v>
      </c>
      <c r="L51" s="15"/>
      <c r="M51" s="15">
        <v>494077</v>
      </c>
      <c r="N51" s="15"/>
      <c r="O51" s="15">
        <v>94759</v>
      </c>
      <c r="P51" s="15"/>
      <c r="Q51" s="15">
        <f>-1+231247</f>
        <v>231246</v>
      </c>
      <c r="R51" s="15"/>
      <c r="S51" s="15"/>
      <c r="T51" s="15"/>
      <c r="U51" s="15"/>
    </row>
    <row r="52" spans="1:21" s="18" customFormat="1" ht="13.5" customHeight="1">
      <c r="A52" s="15" t="s">
        <v>49</v>
      </c>
      <c r="B52" s="16"/>
      <c r="C52" s="15">
        <v>0</v>
      </c>
      <c r="D52" s="15"/>
      <c r="E52" s="15">
        <v>205509</v>
      </c>
      <c r="F52" s="15"/>
      <c r="G52" s="15">
        <v>109250</v>
      </c>
      <c r="H52" s="15"/>
      <c r="I52" s="15">
        <v>0</v>
      </c>
      <c r="J52" s="15"/>
      <c r="K52" s="15">
        <f t="shared" si="0"/>
        <v>314759</v>
      </c>
      <c r="L52" s="15"/>
      <c r="M52" s="15">
        <v>180608</v>
      </c>
      <c r="N52" s="15"/>
      <c r="O52" s="15">
        <v>53249</v>
      </c>
      <c r="P52" s="15"/>
      <c r="Q52" s="15">
        <v>80902</v>
      </c>
      <c r="R52" s="15"/>
      <c r="S52" s="15"/>
      <c r="T52" s="15"/>
      <c r="U52" s="15"/>
    </row>
    <row r="53" spans="1:21" s="18" customFormat="1" ht="13.5" customHeight="1">
      <c r="A53" s="15" t="s">
        <v>117</v>
      </c>
      <c r="B53" s="16"/>
      <c r="C53" s="15">
        <v>0</v>
      </c>
      <c r="D53" s="15"/>
      <c r="E53" s="15">
        <v>102174</v>
      </c>
      <c r="F53" s="15"/>
      <c r="G53" s="15">
        <v>212852</v>
      </c>
      <c r="H53" s="15"/>
      <c r="I53" s="15">
        <v>0</v>
      </c>
      <c r="J53" s="15"/>
      <c r="K53" s="15">
        <f t="shared" si="0"/>
        <v>315026</v>
      </c>
      <c r="L53" s="15"/>
      <c r="M53" s="15">
        <v>147053</v>
      </c>
      <c r="N53" s="15"/>
      <c r="O53" s="15">
        <v>92751</v>
      </c>
      <c r="P53" s="15"/>
      <c r="Q53" s="15">
        <f>-1+75223</f>
        <v>75222</v>
      </c>
      <c r="R53" s="15"/>
      <c r="S53" s="15"/>
      <c r="T53" s="15"/>
      <c r="U53" s="15"/>
    </row>
    <row r="54" spans="1:21" s="18" customFormat="1" ht="13.5" customHeight="1">
      <c r="A54" s="15" t="s">
        <v>50</v>
      </c>
      <c r="B54" s="16"/>
      <c r="C54" s="17">
        <v>0</v>
      </c>
      <c r="D54" s="15"/>
      <c r="E54" s="17">
        <v>0</v>
      </c>
      <c r="F54" s="15"/>
      <c r="G54" s="17">
        <v>630506</v>
      </c>
      <c r="H54" s="15"/>
      <c r="I54" s="17">
        <v>0</v>
      </c>
      <c r="J54" s="15"/>
      <c r="K54" s="17">
        <f t="shared" si="0"/>
        <v>630506</v>
      </c>
      <c r="L54" s="15"/>
      <c r="M54" s="17">
        <v>375076</v>
      </c>
      <c r="N54" s="15"/>
      <c r="O54" s="17">
        <v>191022</v>
      </c>
      <c r="P54" s="15"/>
      <c r="Q54" s="17">
        <v>64408</v>
      </c>
      <c r="R54" s="15"/>
      <c r="S54" s="15"/>
      <c r="T54" s="15"/>
      <c r="U54" s="15"/>
    </row>
    <row r="55" spans="1:21" s="18" customFormat="1" ht="13.5" customHeight="1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18" customFormat="1" ht="13.5" customHeight="1">
      <c r="A56" s="15" t="s">
        <v>22</v>
      </c>
      <c r="B56" s="16"/>
      <c r="C56" s="17">
        <f>SUM(C19:C54)</f>
        <v>286748</v>
      </c>
      <c r="D56" s="15"/>
      <c r="E56" s="17">
        <f>SUM(E19:E54)</f>
        <v>10355863</v>
      </c>
      <c r="F56" s="15"/>
      <c r="G56" s="17">
        <f>SUM(G19:G54)</f>
        <v>3253334</v>
      </c>
      <c r="H56" s="15"/>
      <c r="I56" s="17">
        <f>SUM(I19:I54)</f>
        <v>1805152</v>
      </c>
      <c r="J56" s="15"/>
      <c r="K56" s="17">
        <f t="shared" si="0"/>
        <v>15701097</v>
      </c>
      <c r="L56" s="15"/>
      <c r="M56" s="17">
        <f>SUM(M19:M54)</f>
        <v>8532212</v>
      </c>
      <c r="N56" s="15"/>
      <c r="O56" s="17">
        <f>SUM(O19:O54)</f>
        <v>3819368</v>
      </c>
      <c r="P56" s="15"/>
      <c r="Q56" s="17">
        <f>SUM(Q19:Q54)</f>
        <v>3349517</v>
      </c>
      <c r="R56" s="15"/>
      <c r="S56" s="15"/>
      <c r="T56" s="15"/>
      <c r="U56" s="15"/>
    </row>
    <row r="57" spans="1:21" s="18" customFormat="1" ht="13.5" customHeight="1">
      <c r="A57" s="15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18" customFormat="1" ht="13.5" customHeight="1">
      <c r="A58" s="15" t="s">
        <v>30</v>
      </c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s="18" customFormat="1" ht="13.5" customHeight="1">
      <c r="A59" s="15" t="s">
        <v>51</v>
      </c>
      <c r="B59" s="16"/>
      <c r="C59" s="15">
        <v>76</v>
      </c>
      <c r="D59" s="15"/>
      <c r="E59" s="15">
        <v>0</v>
      </c>
      <c r="F59" s="15"/>
      <c r="G59" s="15">
        <v>277723</v>
      </c>
      <c r="H59" s="15"/>
      <c r="I59" s="15">
        <v>208156</v>
      </c>
      <c r="J59" s="15"/>
      <c r="K59" s="15">
        <f t="shared" si="0"/>
        <v>485955</v>
      </c>
      <c r="L59" s="15"/>
      <c r="M59" s="15">
        <v>482296</v>
      </c>
      <c r="N59" s="15"/>
      <c r="O59" s="15">
        <v>3656</v>
      </c>
      <c r="P59" s="15"/>
      <c r="Q59" s="15">
        <f>-1+4</f>
        <v>3</v>
      </c>
      <c r="R59" s="15"/>
      <c r="S59" s="15"/>
      <c r="T59" s="15"/>
      <c r="U59" s="15"/>
    </row>
    <row r="60" spans="1:21" s="18" customFormat="1" ht="13.5" customHeight="1">
      <c r="A60" s="15" t="s">
        <v>52</v>
      </c>
      <c r="B60" s="16"/>
      <c r="C60" s="15">
        <v>428645</v>
      </c>
      <c r="D60" s="15"/>
      <c r="E60" s="15">
        <v>0</v>
      </c>
      <c r="F60" s="15"/>
      <c r="G60" s="15">
        <v>5844</v>
      </c>
      <c r="H60" s="15"/>
      <c r="I60" s="15">
        <v>700</v>
      </c>
      <c r="J60" s="15"/>
      <c r="K60" s="15">
        <f t="shared" si="0"/>
        <v>435189</v>
      </c>
      <c r="L60" s="15"/>
      <c r="M60" s="15">
        <v>303067</v>
      </c>
      <c r="N60" s="15"/>
      <c r="O60" s="15">
        <v>38347</v>
      </c>
      <c r="P60" s="15"/>
      <c r="Q60" s="15">
        <f>-1+93776</f>
        <v>93775</v>
      </c>
      <c r="R60" s="15"/>
      <c r="S60" s="15"/>
      <c r="T60" s="15"/>
      <c r="U60" s="15"/>
    </row>
    <row r="61" spans="1:21" s="18" customFormat="1" ht="13.5" customHeight="1">
      <c r="A61" s="15" t="s">
        <v>53</v>
      </c>
      <c r="B61" s="16" t="s">
        <v>14</v>
      </c>
      <c r="C61" s="15">
        <v>161078</v>
      </c>
      <c r="D61" s="15"/>
      <c r="E61" s="15">
        <v>110610</v>
      </c>
      <c r="F61" s="15"/>
      <c r="G61" s="15">
        <v>33987</v>
      </c>
      <c r="H61" s="15"/>
      <c r="I61" s="15">
        <v>0</v>
      </c>
      <c r="J61" s="15"/>
      <c r="K61" s="15">
        <f t="shared" si="0"/>
        <v>305675</v>
      </c>
      <c r="L61" s="15"/>
      <c r="M61" s="15">
        <v>230957</v>
      </c>
      <c r="N61" s="15"/>
      <c r="O61" s="15">
        <v>742</v>
      </c>
      <c r="P61" s="15"/>
      <c r="Q61" s="15">
        <v>73976</v>
      </c>
      <c r="R61" s="15"/>
      <c r="S61" s="15"/>
      <c r="T61" s="15"/>
      <c r="U61" s="15"/>
    </row>
    <row r="62" spans="1:21" s="18" customFormat="1" ht="13.5" customHeight="1">
      <c r="A62" s="15" t="s">
        <v>54</v>
      </c>
      <c r="B62" s="16" t="s">
        <v>14</v>
      </c>
      <c r="C62" s="15">
        <v>0</v>
      </c>
      <c r="D62" s="15"/>
      <c r="E62" s="15">
        <v>51664</v>
      </c>
      <c r="F62" s="15"/>
      <c r="G62" s="15">
        <v>0</v>
      </c>
      <c r="H62" s="15"/>
      <c r="I62" s="15">
        <v>0</v>
      </c>
      <c r="J62" s="15"/>
      <c r="K62" s="15">
        <f t="shared" si="0"/>
        <v>51664</v>
      </c>
      <c r="L62" s="15"/>
      <c r="M62" s="15">
        <v>33584</v>
      </c>
      <c r="N62" s="15"/>
      <c r="O62" s="15">
        <v>1324</v>
      </c>
      <c r="P62" s="15"/>
      <c r="Q62" s="15">
        <v>16756</v>
      </c>
      <c r="R62" s="15"/>
      <c r="S62" s="15"/>
      <c r="T62" s="15"/>
      <c r="U62" s="15"/>
    </row>
    <row r="63" spans="1:21" s="18" customFormat="1" ht="13.5" customHeight="1">
      <c r="A63" s="15" t="s">
        <v>55</v>
      </c>
      <c r="B63" s="16"/>
      <c r="C63" s="15">
        <v>143806</v>
      </c>
      <c r="D63" s="15"/>
      <c r="E63" s="15">
        <v>1457737</v>
      </c>
      <c r="F63" s="15"/>
      <c r="G63" s="15">
        <v>498843</v>
      </c>
      <c r="H63" s="15"/>
      <c r="I63" s="15">
        <v>11743</v>
      </c>
      <c r="J63" s="15"/>
      <c r="K63" s="15">
        <f t="shared" si="0"/>
        <v>2112129</v>
      </c>
      <c r="L63" s="15"/>
      <c r="M63" s="15">
        <v>967496</v>
      </c>
      <c r="N63" s="15"/>
      <c r="O63" s="15">
        <v>523374</v>
      </c>
      <c r="P63" s="15"/>
      <c r="Q63" s="15">
        <v>621259</v>
      </c>
      <c r="R63" s="15"/>
      <c r="S63" s="15"/>
      <c r="T63" s="15"/>
      <c r="U63" s="15"/>
    </row>
    <row r="64" spans="1:21" s="18" customFormat="1" ht="13.5" customHeight="1">
      <c r="A64" s="15" t="s">
        <v>68</v>
      </c>
      <c r="B64" s="16"/>
      <c r="C64" s="15">
        <v>138367</v>
      </c>
      <c r="D64" s="15"/>
      <c r="E64" s="15">
        <v>0</v>
      </c>
      <c r="F64" s="15"/>
      <c r="G64" s="15">
        <v>0</v>
      </c>
      <c r="H64" s="15"/>
      <c r="I64" s="15">
        <v>0</v>
      </c>
      <c r="J64" s="15"/>
      <c r="K64" s="15">
        <f t="shared" si="0"/>
        <v>138367</v>
      </c>
      <c r="L64" s="15"/>
      <c r="M64" s="15">
        <v>118138</v>
      </c>
      <c r="N64" s="15"/>
      <c r="O64" s="15">
        <v>8385</v>
      </c>
      <c r="P64" s="15"/>
      <c r="Q64" s="15">
        <f>-1+11845</f>
        <v>11844</v>
      </c>
      <c r="R64" s="15"/>
      <c r="S64" s="15"/>
      <c r="T64" s="15"/>
      <c r="U64" s="15"/>
    </row>
    <row r="65" spans="1:21" s="18" customFormat="1" ht="13.5" customHeight="1">
      <c r="A65" s="15" t="s">
        <v>56</v>
      </c>
      <c r="B65" s="16"/>
      <c r="C65" s="15">
        <v>94435</v>
      </c>
      <c r="D65" s="15"/>
      <c r="E65" s="15">
        <v>341390</v>
      </c>
      <c r="F65" s="15"/>
      <c r="G65" s="15">
        <v>47815</v>
      </c>
      <c r="H65" s="15"/>
      <c r="I65" s="15">
        <v>0</v>
      </c>
      <c r="J65" s="15"/>
      <c r="K65" s="15">
        <f t="shared" si="0"/>
        <v>483640</v>
      </c>
      <c r="L65" s="15"/>
      <c r="M65" s="15">
        <v>353373</v>
      </c>
      <c r="N65" s="15"/>
      <c r="O65" s="15">
        <v>14883</v>
      </c>
      <c r="P65" s="15"/>
      <c r="Q65" s="15">
        <f>-1+115385</f>
        <v>115384</v>
      </c>
      <c r="R65" s="15"/>
      <c r="S65" s="15"/>
      <c r="T65" s="15"/>
      <c r="U65" s="15"/>
    </row>
    <row r="66" spans="1:21" s="18" customFormat="1" ht="13.5" customHeight="1">
      <c r="A66" s="15" t="s">
        <v>80</v>
      </c>
      <c r="B66" s="16"/>
      <c r="C66" s="15">
        <v>0</v>
      </c>
      <c r="D66" s="15"/>
      <c r="E66" s="15">
        <v>0</v>
      </c>
      <c r="F66" s="15"/>
      <c r="G66" s="15">
        <v>3862</v>
      </c>
      <c r="H66" s="15"/>
      <c r="I66" s="15">
        <v>0</v>
      </c>
      <c r="J66" s="15"/>
      <c r="K66" s="15">
        <f t="shared" si="0"/>
        <v>3862</v>
      </c>
      <c r="L66" s="15"/>
      <c r="M66" s="15">
        <v>2440</v>
      </c>
      <c r="N66" s="15"/>
      <c r="O66" s="15">
        <v>270</v>
      </c>
      <c r="P66" s="15"/>
      <c r="Q66" s="15">
        <v>1152</v>
      </c>
      <c r="R66" s="15"/>
      <c r="S66" s="15"/>
      <c r="T66" s="15"/>
      <c r="U66" s="15"/>
    </row>
    <row r="67" spans="1:21" s="18" customFormat="1" ht="13.5" customHeight="1">
      <c r="A67" s="15" t="s">
        <v>57</v>
      </c>
      <c r="B67" s="16"/>
      <c r="C67" s="15">
        <v>0</v>
      </c>
      <c r="D67" s="15"/>
      <c r="E67" s="15">
        <v>0</v>
      </c>
      <c r="F67" s="15"/>
      <c r="G67" s="15">
        <v>4250</v>
      </c>
      <c r="H67" s="15"/>
      <c r="I67" s="15">
        <v>0</v>
      </c>
      <c r="J67" s="15"/>
      <c r="K67" s="15">
        <f t="shared" si="0"/>
        <v>4250</v>
      </c>
      <c r="L67" s="15"/>
      <c r="M67" s="15">
        <v>2791</v>
      </c>
      <c r="N67" s="15"/>
      <c r="O67" s="15">
        <v>1459</v>
      </c>
      <c r="P67" s="15"/>
      <c r="Q67" s="15">
        <v>0</v>
      </c>
      <c r="R67" s="15"/>
      <c r="S67" s="15"/>
      <c r="T67" s="15"/>
      <c r="U67" s="15"/>
    </row>
    <row r="68" spans="1:21" s="18" customFormat="1" ht="13.5" customHeight="1">
      <c r="A68" s="15" t="s">
        <v>58</v>
      </c>
      <c r="B68" s="16"/>
      <c r="C68" s="15">
        <v>114808</v>
      </c>
      <c r="D68" s="15"/>
      <c r="E68" s="15">
        <v>1591330</v>
      </c>
      <c r="F68" s="15"/>
      <c r="G68" s="15">
        <v>24747</v>
      </c>
      <c r="H68" s="15"/>
      <c r="I68" s="15">
        <v>56450</v>
      </c>
      <c r="J68" s="15"/>
      <c r="K68" s="15">
        <f t="shared" si="0"/>
        <v>1787335</v>
      </c>
      <c r="L68" s="15"/>
      <c r="M68" s="15">
        <v>931382</v>
      </c>
      <c r="N68" s="15"/>
      <c r="O68" s="15">
        <v>374955</v>
      </c>
      <c r="P68" s="15"/>
      <c r="Q68" s="15">
        <f>1+480997</f>
        <v>480998</v>
      </c>
      <c r="R68" s="15"/>
      <c r="S68" s="15"/>
      <c r="T68" s="15"/>
      <c r="U68" s="15"/>
    </row>
    <row r="69" spans="1:21" s="18" customFormat="1" ht="13.5" customHeight="1">
      <c r="A69" s="15" t="s">
        <v>59</v>
      </c>
      <c r="B69" s="16"/>
      <c r="C69" s="15">
        <v>0</v>
      </c>
      <c r="D69" s="15"/>
      <c r="E69" s="15">
        <v>916465</v>
      </c>
      <c r="F69" s="15"/>
      <c r="G69" s="15">
        <v>240380</v>
      </c>
      <c r="H69" s="15"/>
      <c r="I69" s="15">
        <v>280040</v>
      </c>
      <c r="J69" s="15"/>
      <c r="K69" s="15">
        <f t="shared" si="0"/>
        <v>1436885</v>
      </c>
      <c r="L69" s="15"/>
      <c r="M69" s="15">
        <v>827810</v>
      </c>
      <c r="N69" s="15"/>
      <c r="O69" s="15">
        <v>311856</v>
      </c>
      <c r="P69" s="15"/>
      <c r="Q69" s="15">
        <v>297219</v>
      </c>
      <c r="R69" s="15"/>
      <c r="S69" s="15"/>
      <c r="T69" s="15"/>
      <c r="U69" s="15"/>
    </row>
    <row r="70" spans="1:21" s="18" customFormat="1" ht="13.5" customHeight="1">
      <c r="A70" s="15" t="s">
        <v>107</v>
      </c>
      <c r="B70" s="16"/>
      <c r="C70" s="15">
        <v>0</v>
      </c>
      <c r="D70" s="15"/>
      <c r="E70" s="15">
        <v>0</v>
      </c>
      <c r="F70" s="15"/>
      <c r="G70" s="15">
        <v>217708</v>
      </c>
      <c r="H70" s="15"/>
      <c r="I70" s="15">
        <v>214200</v>
      </c>
      <c r="J70" s="15"/>
      <c r="K70" s="15">
        <f t="shared" si="0"/>
        <v>431908</v>
      </c>
      <c r="L70" s="15"/>
      <c r="M70" s="15">
        <v>392699</v>
      </c>
      <c r="N70" s="15"/>
      <c r="O70" s="15">
        <v>39209</v>
      </c>
      <c r="P70" s="15"/>
      <c r="Q70" s="15">
        <v>0</v>
      </c>
      <c r="R70" s="15"/>
      <c r="S70" s="15"/>
      <c r="T70" s="15"/>
      <c r="U70" s="15"/>
    </row>
    <row r="71" spans="1:21" s="18" customFormat="1" ht="13.5" customHeight="1">
      <c r="A71" s="15" t="s">
        <v>95</v>
      </c>
      <c r="B71" s="16"/>
      <c r="C71" s="15">
        <v>17334</v>
      </c>
      <c r="D71" s="15"/>
      <c r="E71" s="15">
        <v>904950</v>
      </c>
      <c r="F71" s="15"/>
      <c r="G71" s="15">
        <v>233310</v>
      </c>
      <c r="H71" s="15"/>
      <c r="I71" s="15">
        <v>0</v>
      </c>
      <c r="J71" s="15"/>
      <c r="K71" s="15">
        <f t="shared" si="0"/>
        <v>1155594</v>
      </c>
      <c r="L71" s="15"/>
      <c r="M71" s="15">
        <v>613633</v>
      </c>
      <c r="N71" s="15"/>
      <c r="O71" s="15">
        <v>183410</v>
      </c>
      <c r="P71" s="15"/>
      <c r="Q71" s="15">
        <v>358551</v>
      </c>
      <c r="R71" s="15"/>
      <c r="S71" s="15"/>
      <c r="T71" s="15"/>
      <c r="U71" s="15"/>
    </row>
    <row r="72" spans="1:21" s="18" customFormat="1" ht="13.5" customHeight="1">
      <c r="A72" s="15" t="s">
        <v>60</v>
      </c>
      <c r="B72" s="16"/>
      <c r="C72" s="15">
        <v>2051</v>
      </c>
      <c r="D72" s="15"/>
      <c r="E72" s="15">
        <v>92216</v>
      </c>
      <c r="F72" s="15"/>
      <c r="G72" s="15">
        <v>547575</v>
      </c>
      <c r="H72" s="15"/>
      <c r="I72" s="15">
        <v>0</v>
      </c>
      <c r="J72" s="15"/>
      <c r="K72" s="15">
        <f t="shared" si="0"/>
        <v>641842</v>
      </c>
      <c r="L72" s="15"/>
      <c r="M72" s="15">
        <v>574794</v>
      </c>
      <c r="N72" s="15"/>
      <c r="O72" s="15">
        <v>27223</v>
      </c>
      <c r="P72" s="15"/>
      <c r="Q72" s="15">
        <v>39825</v>
      </c>
      <c r="R72" s="15"/>
      <c r="S72" s="15"/>
      <c r="T72" s="15"/>
      <c r="U72" s="15"/>
    </row>
    <row r="73" spans="1:21" s="18" customFormat="1" ht="13.5" customHeight="1">
      <c r="A73" s="15" t="s">
        <v>142</v>
      </c>
      <c r="B73" s="16"/>
      <c r="C73" s="15">
        <v>0</v>
      </c>
      <c r="D73" s="15"/>
      <c r="E73" s="15">
        <v>20295</v>
      </c>
      <c r="F73" s="15"/>
      <c r="G73" s="15">
        <v>18127</v>
      </c>
      <c r="H73" s="15"/>
      <c r="I73" s="15">
        <v>200429</v>
      </c>
      <c r="J73" s="15"/>
      <c r="K73" s="15">
        <f t="shared" si="0"/>
        <v>238851</v>
      </c>
      <c r="L73" s="15"/>
      <c r="M73" s="15">
        <v>179598</v>
      </c>
      <c r="N73" s="15"/>
      <c r="O73" s="15">
        <v>52670</v>
      </c>
      <c r="P73" s="15"/>
      <c r="Q73" s="15">
        <f>1+6582</f>
        <v>6583</v>
      </c>
      <c r="R73" s="15"/>
      <c r="S73" s="15"/>
      <c r="T73" s="15"/>
      <c r="U73" s="15"/>
    </row>
    <row r="74" spans="1:21" s="18" customFormat="1" ht="13.5" customHeight="1">
      <c r="A74" s="15" t="s">
        <v>133</v>
      </c>
      <c r="B74" s="16"/>
      <c r="C74" s="15">
        <v>0</v>
      </c>
      <c r="D74" s="15"/>
      <c r="E74" s="15">
        <v>42554</v>
      </c>
      <c r="F74" s="15"/>
      <c r="G74" s="15">
        <v>0</v>
      </c>
      <c r="H74" s="15"/>
      <c r="I74" s="15">
        <v>0</v>
      </c>
      <c r="J74" s="15"/>
      <c r="K74" s="15">
        <f t="shared" si="0"/>
        <v>42554</v>
      </c>
      <c r="L74" s="15"/>
      <c r="M74" s="15">
        <v>28653</v>
      </c>
      <c r="N74" s="15"/>
      <c r="O74" s="15">
        <v>100</v>
      </c>
      <c r="P74" s="15"/>
      <c r="Q74" s="15">
        <v>13801</v>
      </c>
      <c r="R74" s="15"/>
      <c r="S74" s="15"/>
      <c r="T74" s="15"/>
      <c r="U74" s="15"/>
    </row>
    <row r="75" spans="1:21" s="18" customFormat="1" ht="13.5" customHeight="1">
      <c r="A75" s="15" t="s">
        <v>61</v>
      </c>
      <c r="B75" s="16"/>
      <c r="C75" s="15">
        <v>35</v>
      </c>
      <c r="D75" s="15"/>
      <c r="E75" s="15">
        <v>248364</v>
      </c>
      <c r="F75" s="15"/>
      <c r="G75" s="15">
        <v>722885</v>
      </c>
      <c r="H75" s="15"/>
      <c r="I75" s="15">
        <v>0</v>
      </c>
      <c r="J75" s="15"/>
      <c r="K75" s="15">
        <f t="shared" si="0"/>
        <v>971284</v>
      </c>
      <c r="L75" s="15"/>
      <c r="M75" s="15">
        <v>390978</v>
      </c>
      <c r="N75" s="15"/>
      <c r="O75" s="15">
        <v>306528</v>
      </c>
      <c r="P75" s="15"/>
      <c r="Q75" s="15">
        <f>-1+273779</f>
        <v>273778</v>
      </c>
      <c r="R75" s="15"/>
      <c r="S75" s="15"/>
      <c r="T75" s="15"/>
      <c r="U75" s="15"/>
    </row>
    <row r="76" spans="1:21" s="18" customFormat="1" ht="13.5" customHeight="1">
      <c r="A76" s="15" t="s">
        <v>62</v>
      </c>
      <c r="B76" s="16"/>
      <c r="C76" s="15">
        <v>0</v>
      </c>
      <c r="D76" s="15"/>
      <c r="E76" s="15">
        <v>37408</v>
      </c>
      <c r="F76" s="15"/>
      <c r="G76" s="15">
        <v>37852</v>
      </c>
      <c r="H76" s="15"/>
      <c r="I76" s="15">
        <v>0</v>
      </c>
      <c r="J76" s="15"/>
      <c r="K76" s="15">
        <f t="shared" si="0"/>
        <v>75260</v>
      </c>
      <c r="L76" s="15"/>
      <c r="M76" s="15">
        <v>52428</v>
      </c>
      <c r="N76" s="15"/>
      <c r="O76" s="15">
        <v>4428</v>
      </c>
      <c r="P76" s="15"/>
      <c r="Q76" s="15">
        <f>1+18403</f>
        <v>18404</v>
      </c>
      <c r="R76" s="15"/>
      <c r="S76" s="15"/>
      <c r="T76" s="15"/>
      <c r="U76" s="15"/>
    </row>
    <row r="77" spans="1:21" s="18" customFormat="1" ht="13.5" customHeight="1">
      <c r="A77" s="15" t="s">
        <v>63</v>
      </c>
      <c r="B77" s="16" t="s">
        <v>14</v>
      </c>
      <c r="C77" s="15">
        <v>3019</v>
      </c>
      <c r="D77" s="15"/>
      <c r="E77" s="15">
        <v>42560</v>
      </c>
      <c r="F77" s="15"/>
      <c r="G77" s="15">
        <v>457781</v>
      </c>
      <c r="H77" s="15"/>
      <c r="I77" s="15">
        <v>0</v>
      </c>
      <c r="J77" s="15"/>
      <c r="K77" s="15">
        <f t="shared" si="0"/>
        <v>503360</v>
      </c>
      <c r="L77" s="15"/>
      <c r="M77" s="15">
        <v>357863</v>
      </c>
      <c r="N77" s="15"/>
      <c r="O77" s="15">
        <v>54066</v>
      </c>
      <c r="P77" s="15"/>
      <c r="Q77" s="15">
        <f>1+91430</f>
        <v>91431</v>
      </c>
      <c r="R77" s="15"/>
      <c r="S77" s="15"/>
      <c r="T77" s="15"/>
      <c r="U77" s="15"/>
    </row>
    <row r="78" spans="1:21" s="18" customFormat="1" ht="13.5" customHeight="1">
      <c r="A78" s="15" t="s">
        <v>86</v>
      </c>
      <c r="B78" s="16"/>
      <c r="C78" s="15">
        <v>30317</v>
      </c>
      <c r="D78" s="15"/>
      <c r="E78" s="15">
        <v>78929</v>
      </c>
      <c r="F78" s="15"/>
      <c r="G78" s="15">
        <v>461026</v>
      </c>
      <c r="H78" s="15"/>
      <c r="I78" s="15">
        <v>0</v>
      </c>
      <c r="J78" s="15"/>
      <c r="K78" s="15">
        <f t="shared" si="0"/>
        <v>570272</v>
      </c>
      <c r="L78" s="15"/>
      <c r="M78" s="15">
        <v>206463</v>
      </c>
      <c r="N78" s="15"/>
      <c r="O78" s="15">
        <v>343570</v>
      </c>
      <c r="P78" s="15"/>
      <c r="Q78" s="15">
        <v>20239</v>
      </c>
      <c r="R78" s="15"/>
      <c r="S78" s="15"/>
      <c r="T78" s="15"/>
      <c r="U78" s="15"/>
    </row>
    <row r="79" spans="1:21" s="18" customFormat="1" ht="13.5" customHeight="1">
      <c r="A79" s="15" t="s">
        <v>64</v>
      </c>
      <c r="B79" s="16"/>
      <c r="C79" s="15">
        <v>0</v>
      </c>
      <c r="D79" s="15"/>
      <c r="E79" s="15">
        <v>2746759</v>
      </c>
      <c r="F79" s="15"/>
      <c r="G79" s="15">
        <v>278564</v>
      </c>
      <c r="H79" s="15"/>
      <c r="I79" s="15">
        <v>30389</v>
      </c>
      <c r="J79" s="15"/>
      <c r="K79" s="15">
        <f t="shared" si="0"/>
        <v>3055712</v>
      </c>
      <c r="L79" s="15"/>
      <c r="M79" s="15">
        <v>763356</v>
      </c>
      <c r="N79" s="15"/>
      <c r="O79" s="15">
        <v>1873723</v>
      </c>
      <c r="P79" s="15"/>
      <c r="Q79" s="15">
        <v>418633</v>
      </c>
      <c r="R79" s="15"/>
      <c r="S79" s="15"/>
      <c r="T79" s="15"/>
      <c r="U79" s="15"/>
    </row>
    <row r="80" spans="1:21" s="18" customFormat="1" ht="13.5" customHeight="1">
      <c r="A80" s="15" t="s">
        <v>65</v>
      </c>
      <c r="B80" s="16"/>
      <c r="C80" s="15">
        <v>670819</v>
      </c>
      <c r="D80" s="15"/>
      <c r="E80" s="15">
        <v>1445904</v>
      </c>
      <c r="F80" s="15"/>
      <c r="G80" s="15">
        <v>1688125</v>
      </c>
      <c r="H80" s="15"/>
      <c r="I80" s="15">
        <v>104976</v>
      </c>
      <c r="J80" s="15"/>
      <c r="K80" s="15">
        <f t="shared" si="0"/>
        <v>3909824</v>
      </c>
      <c r="L80" s="15"/>
      <c r="M80" s="15">
        <v>2092953</v>
      </c>
      <c r="N80" s="15"/>
      <c r="O80" s="15">
        <v>896878</v>
      </c>
      <c r="P80" s="15"/>
      <c r="Q80" s="15">
        <f>1+919992</f>
        <v>919993</v>
      </c>
      <c r="R80" s="15"/>
      <c r="S80" s="15"/>
      <c r="T80" s="15"/>
      <c r="U80" s="15"/>
    </row>
    <row r="81" spans="1:21" s="18" customFormat="1" ht="13.5" customHeight="1">
      <c r="A81" s="15" t="s">
        <v>134</v>
      </c>
      <c r="B81" s="16"/>
      <c r="C81" s="15">
        <v>0</v>
      </c>
      <c r="D81" s="15"/>
      <c r="E81" s="15">
        <v>82551</v>
      </c>
      <c r="F81" s="15"/>
      <c r="G81" s="15">
        <v>0</v>
      </c>
      <c r="H81" s="15"/>
      <c r="I81" s="15">
        <v>0</v>
      </c>
      <c r="J81" s="15"/>
      <c r="K81" s="15">
        <f t="shared" si="0"/>
        <v>82551</v>
      </c>
      <c r="L81" s="15"/>
      <c r="M81" s="15">
        <v>44268</v>
      </c>
      <c r="N81" s="15"/>
      <c r="O81" s="15">
        <v>11510</v>
      </c>
      <c r="P81" s="15"/>
      <c r="Q81" s="15">
        <v>26773</v>
      </c>
      <c r="R81" s="15"/>
      <c r="S81" s="15"/>
      <c r="T81" s="15"/>
      <c r="U81" s="15"/>
    </row>
    <row r="82" spans="1:21" s="18" customFormat="1" ht="13.5" customHeight="1">
      <c r="A82" s="15" t="s">
        <v>81</v>
      </c>
      <c r="B82" s="16"/>
      <c r="C82" s="15">
        <v>333667</v>
      </c>
      <c r="D82" s="15"/>
      <c r="E82" s="15">
        <v>507460</v>
      </c>
      <c r="F82" s="15"/>
      <c r="G82" s="15">
        <v>1258073</v>
      </c>
      <c r="H82" s="15"/>
      <c r="I82" s="15">
        <v>33393</v>
      </c>
      <c r="J82" s="15"/>
      <c r="K82" s="15">
        <f t="shared" si="0"/>
        <v>2132593</v>
      </c>
      <c r="L82" s="15"/>
      <c r="M82" s="15">
        <v>1388160</v>
      </c>
      <c r="N82" s="15"/>
      <c r="O82" s="15">
        <v>151503</v>
      </c>
      <c r="P82" s="15"/>
      <c r="Q82" s="15">
        <v>592930</v>
      </c>
      <c r="R82" s="15"/>
      <c r="S82" s="15"/>
      <c r="T82" s="15"/>
      <c r="U82" s="15"/>
    </row>
    <row r="83" spans="1:21" s="18" customFormat="1" ht="13.5" customHeight="1">
      <c r="A83" s="15" t="s">
        <v>87</v>
      </c>
      <c r="B83" s="16"/>
      <c r="C83" s="15">
        <v>0</v>
      </c>
      <c r="D83" s="15"/>
      <c r="E83" s="15">
        <v>0</v>
      </c>
      <c r="F83" s="15"/>
      <c r="G83" s="15">
        <v>18159</v>
      </c>
      <c r="H83" s="15"/>
      <c r="I83" s="15">
        <v>0</v>
      </c>
      <c r="J83" s="15"/>
      <c r="K83" s="15">
        <f t="shared" si="0"/>
        <v>18159</v>
      </c>
      <c r="L83" s="15"/>
      <c r="M83" s="15">
        <v>4853</v>
      </c>
      <c r="N83" s="15"/>
      <c r="O83" s="15">
        <v>12807</v>
      </c>
      <c r="P83" s="15"/>
      <c r="Q83" s="15">
        <f>-1+500</f>
        <v>499</v>
      </c>
      <c r="R83" s="15"/>
      <c r="S83" s="15"/>
      <c r="T83" s="15"/>
      <c r="U83" s="15"/>
    </row>
    <row r="84" spans="1:21" s="18" customFormat="1" ht="13.5" customHeight="1">
      <c r="A84" s="15" t="s">
        <v>128</v>
      </c>
      <c r="B84" s="16"/>
      <c r="C84" s="15">
        <v>0</v>
      </c>
      <c r="D84" s="15"/>
      <c r="E84" s="15">
        <v>467149</v>
      </c>
      <c r="F84" s="15"/>
      <c r="G84" s="15">
        <v>41600</v>
      </c>
      <c r="H84" s="15"/>
      <c r="I84" s="15">
        <v>151194</v>
      </c>
      <c r="J84" s="15"/>
      <c r="K84" s="15">
        <f t="shared" si="0"/>
        <v>659943</v>
      </c>
      <c r="L84" s="15"/>
      <c r="M84" s="15">
        <v>298105</v>
      </c>
      <c r="N84" s="15"/>
      <c r="O84" s="15">
        <v>264484</v>
      </c>
      <c r="P84" s="15"/>
      <c r="Q84" s="15">
        <v>97354</v>
      </c>
      <c r="R84" s="15"/>
      <c r="S84" s="15"/>
      <c r="T84" s="15"/>
      <c r="U84" s="15"/>
    </row>
    <row r="85" spans="1:21" s="18" customFormat="1" ht="13.5" customHeight="1">
      <c r="A85" s="15" t="s">
        <v>110</v>
      </c>
      <c r="B85" s="16"/>
      <c r="C85" s="20">
        <v>10009</v>
      </c>
      <c r="D85" s="15"/>
      <c r="E85" s="20">
        <v>0</v>
      </c>
      <c r="F85" s="15"/>
      <c r="G85" s="20">
        <v>0</v>
      </c>
      <c r="H85" s="15"/>
      <c r="I85" s="20">
        <v>68294</v>
      </c>
      <c r="J85" s="15"/>
      <c r="K85" s="20">
        <f t="shared" si="0"/>
        <v>78303</v>
      </c>
      <c r="L85" s="15"/>
      <c r="M85" s="20">
        <v>65294</v>
      </c>
      <c r="N85" s="15"/>
      <c r="O85" s="20">
        <v>13009</v>
      </c>
      <c r="P85" s="15"/>
      <c r="Q85" s="20">
        <v>0</v>
      </c>
      <c r="R85" s="15"/>
      <c r="S85" s="15"/>
      <c r="T85" s="15"/>
      <c r="U85" s="15"/>
    </row>
    <row r="86" spans="1:21" s="18" customFormat="1" ht="13.5" customHeight="1">
      <c r="A86" s="15"/>
      <c r="B86" s="16"/>
      <c r="C86" s="19"/>
      <c r="D86" s="15"/>
      <c r="E86" s="19"/>
      <c r="F86" s="15"/>
      <c r="G86" s="19"/>
      <c r="H86" s="15"/>
      <c r="I86" s="19"/>
      <c r="J86" s="15"/>
      <c r="K86" s="19"/>
      <c r="L86" s="15"/>
      <c r="M86" s="19"/>
      <c r="N86" s="15"/>
      <c r="O86" s="19"/>
      <c r="P86" s="15"/>
      <c r="Q86" s="19"/>
      <c r="R86" s="15"/>
      <c r="S86" s="15"/>
      <c r="T86" s="15"/>
      <c r="U86" s="15"/>
    </row>
    <row r="87" spans="1:21" s="18" customFormat="1" ht="13.5" customHeight="1">
      <c r="A87" s="15" t="s">
        <v>29</v>
      </c>
      <c r="B87" s="16"/>
      <c r="C87" s="17">
        <f>SUM(C59:C85)</f>
        <v>2148466</v>
      </c>
      <c r="D87" s="15"/>
      <c r="E87" s="17">
        <f>SUM(E59:E85)</f>
        <v>11186295</v>
      </c>
      <c r="F87" s="15"/>
      <c r="G87" s="17">
        <f>SUM(G59:G85)</f>
        <v>7118236</v>
      </c>
      <c r="H87" s="15"/>
      <c r="I87" s="17">
        <f>SUM(I59:I85)</f>
        <v>1359964</v>
      </c>
      <c r="J87" s="15"/>
      <c r="K87" s="17">
        <f t="shared" si="0"/>
        <v>21812961</v>
      </c>
      <c r="L87" s="15"/>
      <c r="M87" s="17">
        <f>SUM(M59:M85)</f>
        <v>11707432</v>
      </c>
      <c r="N87" s="15"/>
      <c r="O87" s="17">
        <f>SUM(O59:O85)</f>
        <v>5514369</v>
      </c>
      <c r="P87" s="15"/>
      <c r="Q87" s="17">
        <f>SUM(Q59:Q85)</f>
        <v>4591160</v>
      </c>
      <c r="R87" s="15"/>
      <c r="S87" s="15"/>
      <c r="T87" s="15"/>
      <c r="U87" s="15"/>
    </row>
    <row r="88" spans="1:21" s="18" customFormat="1" ht="13.5" customHeight="1">
      <c r="A88" s="15"/>
      <c r="B88" s="16"/>
      <c r="C88" s="19"/>
      <c r="D88" s="15"/>
      <c r="E88" s="19"/>
      <c r="F88" s="15"/>
      <c r="G88" s="19"/>
      <c r="H88" s="15"/>
      <c r="I88" s="19"/>
      <c r="J88" s="15"/>
      <c r="K88" s="19"/>
      <c r="L88" s="15"/>
      <c r="M88" s="19"/>
      <c r="N88" s="15"/>
      <c r="O88" s="19"/>
      <c r="P88" s="15"/>
      <c r="Q88" s="19"/>
      <c r="R88" s="15"/>
      <c r="S88" s="15"/>
      <c r="T88" s="15"/>
      <c r="U88" s="15"/>
    </row>
    <row r="89" spans="1:21" s="18" customFormat="1" ht="13.5" customHeight="1">
      <c r="A89" s="15" t="s">
        <v>88</v>
      </c>
      <c r="B89" s="16"/>
      <c r="C89" s="19"/>
      <c r="D89" s="15"/>
      <c r="E89" s="19"/>
      <c r="F89" s="15"/>
      <c r="G89" s="19"/>
      <c r="H89" s="15"/>
      <c r="I89" s="19"/>
      <c r="J89" s="15"/>
      <c r="K89" s="19"/>
      <c r="L89" s="15"/>
      <c r="M89" s="19"/>
      <c r="N89" s="15"/>
      <c r="O89" s="19"/>
      <c r="P89" s="15"/>
      <c r="Q89" s="19"/>
      <c r="R89" s="15"/>
      <c r="S89" s="15"/>
      <c r="T89" s="15"/>
      <c r="U89" s="15"/>
    </row>
    <row r="90" spans="1:21" s="18" customFormat="1" ht="13.5" customHeight="1">
      <c r="A90" s="15" t="s">
        <v>103</v>
      </c>
      <c r="B90" s="16"/>
      <c r="C90" s="15">
        <v>228175</v>
      </c>
      <c r="D90" s="15"/>
      <c r="E90" s="15">
        <v>173084</v>
      </c>
      <c r="F90" s="15"/>
      <c r="G90" s="15">
        <v>2242212</v>
      </c>
      <c r="H90" s="15"/>
      <c r="I90" s="15">
        <v>0</v>
      </c>
      <c r="J90" s="15"/>
      <c r="K90" s="19">
        <f t="shared" si="0"/>
        <v>2643471</v>
      </c>
      <c r="L90" s="15"/>
      <c r="M90" s="15">
        <v>818978</v>
      </c>
      <c r="N90" s="15"/>
      <c r="O90" s="15">
        <v>1623525</v>
      </c>
      <c r="P90" s="15"/>
      <c r="Q90" s="15">
        <f>1+200967</f>
        <v>200968</v>
      </c>
      <c r="R90" s="15"/>
      <c r="S90" s="15"/>
      <c r="T90" s="15"/>
      <c r="U90" s="15"/>
    </row>
    <row r="91" spans="1:21" s="18" customFormat="1" ht="13.5" customHeight="1">
      <c r="A91" s="15" t="s">
        <v>53</v>
      </c>
      <c r="B91" s="16"/>
      <c r="C91" s="15">
        <v>7299</v>
      </c>
      <c r="D91" s="15"/>
      <c r="E91" s="15">
        <v>124808</v>
      </c>
      <c r="F91" s="15"/>
      <c r="G91" s="15">
        <v>4193</v>
      </c>
      <c r="H91" s="15"/>
      <c r="I91" s="15">
        <v>51131</v>
      </c>
      <c r="J91" s="15"/>
      <c r="K91" s="19">
        <f t="shared" si="0"/>
        <v>187431</v>
      </c>
      <c r="L91" s="15"/>
      <c r="M91" s="15">
        <v>134766</v>
      </c>
      <c r="N91" s="15"/>
      <c r="O91" s="15">
        <v>15888</v>
      </c>
      <c r="P91" s="15"/>
      <c r="Q91" s="15">
        <v>36777</v>
      </c>
      <c r="R91" s="15"/>
      <c r="S91" s="15"/>
      <c r="T91" s="15"/>
      <c r="U91" s="15"/>
    </row>
    <row r="92" spans="1:21" s="18" customFormat="1" ht="13.5" customHeight="1">
      <c r="A92" s="15" t="s">
        <v>104</v>
      </c>
      <c r="B92" s="16"/>
      <c r="C92" s="15">
        <v>0</v>
      </c>
      <c r="D92" s="15"/>
      <c r="E92" s="15">
        <v>0</v>
      </c>
      <c r="F92" s="15"/>
      <c r="G92" s="15">
        <v>37010</v>
      </c>
      <c r="H92" s="15"/>
      <c r="I92" s="15">
        <v>0</v>
      </c>
      <c r="J92" s="15"/>
      <c r="K92" s="19">
        <f t="shared" si="0"/>
        <v>37010</v>
      </c>
      <c r="L92" s="15"/>
      <c r="M92" s="15">
        <v>27956</v>
      </c>
      <c r="N92" s="15"/>
      <c r="O92" s="15">
        <v>4049</v>
      </c>
      <c r="P92" s="15"/>
      <c r="Q92" s="15">
        <f>1+5004</f>
        <v>5005</v>
      </c>
      <c r="R92" s="15"/>
      <c r="S92" s="15"/>
      <c r="T92" s="15"/>
      <c r="U92" s="15"/>
    </row>
    <row r="93" spans="1:21" s="18" customFormat="1" ht="13.5" customHeight="1">
      <c r="A93" s="15" t="s">
        <v>108</v>
      </c>
      <c r="B93" s="16"/>
      <c r="C93" s="15">
        <v>0</v>
      </c>
      <c r="D93" s="15"/>
      <c r="E93" s="15">
        <v>0</v>
      </c>
      <c r="F93" s="15"/>
      <c r="G93" s="15">
        <v>9922</v>
      </c>
      <c r="H93" s="15"/>
      <c r="I93" s="15">
        <v>0</v>
      </c>
      <c r="J93" s="15"/>
      <c r="K93" s="19">
        <f t="shared" si="0"/>
        <v>9922</v>
      </c>
      <c r="L93" s="15"/>
      <c r="M93" s="15">
        <v>0</v>
      </c>
      <c r="N93" s="15"/>
      <c r="O93" s="15">
        <v>9922</v>
      </c>
      <c r="P93" s="15"/>
      <c r="Q93" s="15">
        <v>0</v>
      </c>
      <c r="R93" s="15"/>
      <c r="S93" s="15"/>
      <c r="T93" s="15"/>
      <c r="U93" s="15"/>
    </row>
    <row r="94" spans="1:21" s="18" customFormat="1" ht="13.5" customHeight="1">
      <c r="A94" s="15" t="s">
        <v>125</v>
      </c>
      <c r="B94" s="16"/>
      <c r="C94" s="15">
        <v>0</v>
      </c>
      <c r="D94" s="15"/>
      <c r="E94" s="15">
        <v>0</v>
      </c>
      <c r="F94" s="15"/>
      <c r="G94" s="15">
        <v>1135</v>
      </c>
      <c r="H94" s="15"/>
      <c r="I94" s="15">
        <v>0</v>
      </c>
      <c r="J94" s="15"/>
      <c r="K94" s="19">
        <f t="shared" si="0"/>
        <v>1135</v>
      </c>
      <c r="L94" s="15"/>
      <c r="M94" s="15">
        <v>0</v>
      </c>
      <c r="N94" s="15"/>
      <c r="O94" s="15">
        <v>1135</v>
      </c>
      <c r="P94" s="15"/>
      <c r="Q94" s="15">
        <v>0</v>
      </c>
      <c r="R94" s="15"/>
      <c r="S94" s="15"/>
      <c r="T94" s="15"/>
      <c r="U94" s="15"/>
    </row>
    <row r="95" spans="1:21" s="18" customFormat="1" ht="13.5" customHeight="1">
      <c r="A95" s="15" t="s">
        <v>111</v>
      </c>
      <c r="B95" s="16"/>
      <c r="C95" s="15">
        <v>-171</v>
      </c>
      <c r="D95" s="15"/>
      <c r="E95" s="15">
        <v>0</v>
      </c>
      <c r="F95" s="15"/>
      <c r="G95" s="15">
        <v>350543</v>
      </c>
      <c r="H95" s="15"/>
      <c r="I95" s="15">
        <v>36562</v>
      </c>
      <c r="J95" s="15"/>
      <c r="K95" s="19">
        <f t="shared" si="0"/>
        <v>386934</v>
      </c>
      <c r="L95" s="15"/>
      <c r="M95" s="15">
        <v>271008</v>
      </c>
      <c r="N95" s="15"/>
      <c r="O95" s="15">
        <v>89033</v>
      </c>
      <c r="P95" s="15"/>
      <c r="Q95" s="15">
        <f>1+26892</f>
        <v>26893</v>
      </c>
      <c r="R95" s="15"/>
      <c r="S95" s="15"/>
      <c r="T95" s="15"/>
      <c r="U95" s="15"/>
    </row>
    <row r="96" spans="1:21" s="18" customFormat="1" ht="13.5" customHeight="1">
      <c r="A96" s="15" t="s">
        <v>102</v>
      </c>
      <c r="B96" s="16"/>
      <c r="C96" s="15">
        <v>0</v>
      </c>
      <c r="D96" s="15"/>
      <c r="E96" s="15">
        <v>8477</v>
      </c>
      <c r="F96" s="15"/>
      <c r="G96" s="15">
        <v>96439</v>
      </c>
      <c r="H96" s="15"/>
      <c r="I96" s="15">
        <v>2507</v>
      </c>
      <c r="J96" s="15"/>
      <c r="K96" s="19">
        <f t="shared" si="0"/>
        <v>107423</v>
      </c>
      <c r="L96" s="15"/>
      <c r="M96" s="15">
        <v>82520</v>
      </c>
      <c r="N96" s="15"/>
      <c r="O96" s="15">
        <v>9173</v>
      </c>
      <c r="P96" s="15"/>
      <c r="Q96" s="15">
        <v>15730</v>
      </c>
      <c r="R96" s="15"/>
      <c r="S96" s="15"/>
      <c r="T96" s="15"/>
      <c r="U96" s="15"/>
    </row>
    <row r="97" spans="1:21" s="18" customFormat="1" ht="13.5" customHeight="1">
      <c r="A97" s="15" t="s">
        <v>101</v>
      </c>
      <c r="B97" s="16"/>
      <c r="C97" s="20">
        <v>0</v>
      </c>
      <c r="D97" s="15"/>
      <c r="E97" s="20">
        <v>22820</v>
      </c>
      <c r="F97" s="15"/>
      <c r="G97" s="20">
        <v>277509</v>
      </c>
      <c r="H97" s="15"/>
      <c r="I97" s="20">
        <v>103643</v>
      </c>
      <c r="J97" s="15"/>
      <c r="K97" s="20">
        <f t="shared" si="0"/>
        <v>403972</v>
      </c>
      <c r="L97" s="15"/>
      <c r="M97" s="20">
        <v>279195</v>
      </c>
      <c r="N97" s="15"/>
      <c r="O97" s="20">
        <v>69000</v>
      </c>
      <c r="P97" s="15"/>
      <c r="Q97" s="20">
        <f>-1+55778</f>
        <v>55777</v>
      </c>
      <c r="R97" s="15"/>
      <c r="S97" s="15"/>
      <c r="T97" s="15"/>
      <c r="U97" s="15"/>
    </row>
    <row r="98" spans="1:21" s="18" customFormat="1" ht="13.5" customHeight="1">
      <c r="A98" s="15"/>
      <c r="B98" s="16"/>
      <c r="C98" s="19"/>
      <c r="D98" s="15"/>
      <c r="E98" s="19"/>
      <c r="F98" s="15"/>
      <c r="G98" s="19"/>
      <c r="H98" s="15"/>
      <c r="I98" s="19"/>
      <c r="J98" s="15"/>
      <c r="K98" s="19"/>
      <c r="L98" s="15"/>
      <c r="M98" s="19"/>
      <c r="N98" s="15"/>
      <c r="O98" s="19"/>
      <c r="P98" s="15"/>
      <c r="Q98" s="19"/>
      <c r="R98" s="15"/>
      <c r="S98" s="15"/>
      <c r="T98" s="15"/>
      <c r="U98" s="15"/>
    </row>
    <row r="99" spans="1:21" s="18" customFormat="1" ht="13.5" customHeight="1">
      <c r="A99" s="15" t="s">
        <v>90</v>
      </c>
      <c r="B99" s="16"/>
      <c r="C99" s="20">
        <f>SUM(C90:C97)</f>
        <v>235303</v>
      </c>
      <c r="D99" s="15"/>
      <c r="E99" s="20">
        <f>SUM(E90:E97)</f>
        <v>329189</v>
      </c>
      <c r="F99" s="15"/>
      <c r="G99" s="20">
        <f>SUM(G90:G97)</f>
        <v>3018963</v>
      </c>
      <c r="H99" s="15"/>
      <c r="I99" s="20">
        <f>SUM(I90:I97)</f>
        <v>193843</v>
      </c>
      <c r="J99" s="15"/>
      <c r="K99" s="20">
        <f>SUM(K90:K97)</f>
        <v>3777298</v>
      </c>
      <c r="L99" s="15"/>
      <c r="M99" s="20">
        <f>SUM(M90:M97)</f>
        <v>1614423</v>
      </c>
      <c r="N99" s="15"/>
      <c r="O99" s="20">
        <f>SUM(O90:O97)</f>
        <v>1821725</v>
      </c>
      <c r="P99" s="15"/>
      <c r="Q99" s="20">
        <f>SUM(Q90:Q97)</f>
        <v>341150</v>
      </c>
      <c r="R99" s="15"/>
      <c r="S99" s="15"/>
      <c r="T99" s="15"/>
      <c r="U99" s="15"/>
    </row>
    <row r="100" spans="1:21" s="18" customFormat="1" ht="13.5" customHeight="1">
      <c r="A100" s="15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s="18" customFormat="1" ht="13.5" customHeight="1">
      <c r="A101" s="15" t="s">
        <v>23</v>
      </c>
      <c r="B101" s="16" t="s">
        <v>14</v>
      </c>
      <c r="C101" s="17">
        <f>SUM(C56+C87+C99)</f>
        <v>2670517</v>
      </c>
      <c r="D101" s="15"/>
      <c r="E101" s="17">
        <f>SUM(E56+E87+E99)</f>
        <v>21871347</v>
      </c>
      <c r="F101" s="15"/>
      <c r="G101" s="17">
        <f>SUM(G56+G87+G99)</f>
        <v>13390533</v>
      </c>
      <c r="H101" s="15"/>
      <c r="I101" s="17">
        <f>SUM(I56+I87+I99)</f>
        <v>3358959</v>
      </c>
      <c r="J101" s="15"/>
      <c r="K101" s="17">
        <f>SUM(K56+K87+K99)</f>
        <v>41291356</v>
      </c>
      <c r="L101" s="15"/>
      <c r="M101" s="17">
        <f>SUM(M56+M87+M99)</f>
        <v>21854067</v>
      </c>
      <c r="N101" s="15"/>
      <c r="O101" s="17">
        <f>SUM(O56+O87+O99)</f>
        <v>11155462</v>
      </c>
      <c r="P101" s="15"/>
      <c r="Q101" s="17">
        <f>SUM(Q56+Q87+Q99)</f>
        <v>8281827</v>
      </c>
      <c r="R101" s="15"/>
      <c r="S101" s="15"/>
      <c r="T101" s="15"/>
      <c r="U101" s="15"/>
    </row>
    <row r="102" spans="1:21" s="18" customFormat="1" ht="13.5" customHeight="1">
      <c r="A102" s="15"/>
      <c r="B102" s="16"/>
      <c r="C102" s="21"/>
      <c r="D102" s="21"/>
      <c r="E102" s="21"/>
      <c r="F102" s="21"/>
      <c r="G102" s="21"/>
      <c r="H102" s="21"/>
      <c r="I102" s="21"/>
      <c r="J102" s="21"/>
      <c r="K102" s="15"/>
      <c r="L102" s="21"/>
      <c r="M102" s="21"/>
      <c r="N102" s="21"/>
      <c r="O102" s="21"/>
      <c r="P102" s="21"/>
      <c r="Q102" s="21"/>
      <c r="R102" s="15"/>
      <c r="S102" s="15"/>
      <c r="T102" s="15"/>
      <c r="U102" s="15"/>
    </row>
    <row r="103" spans="1:21" s="18" customFormat="1" ht="13.5" customHeight="1">
      <c r="A103" s="15" t="s">
        <v>17</v>
      </c>
      <c r="B103" s="16" t="s">
        <v>14</v>
      </c>
      <c r="C103" s="15" t="s">
        <v>0</v>
      </c>
      <c r="D103" s="15"/>
      <c r="E103" s="15" t="s">
        <v>0</v>
      </c>
      <c r="F103" s="15"/>
      <c r="G103" s="15" t="s">
        <v>0</v>
      </c>
      <c r="H103" s="15"/>
      <c r="I103" s="15" t="s">
        <v>0</v>
      </c>
      <c r="J103" s="15"/>
      <c r="K103" s="15"/>
      <c r="L103" s="15"/>
      <c r="M103" s="15" t="s">
        <v>0</v>
      </c>
      <c r="N103" s="15"/>
      <c r="O103" s="15" t="s">
        <v>0</v>
      </c>
      <c r="P103" s="15"/>
      <c r="Q103" s="15" t="s">
        <v>0</v>
      </c>
      <c r="R103" s="15"/>
      <c r="S103" s="15"/>
      <c r="T103" s="15"/>
      <c r="U103" s="15"/>
    </row>
    <row r="104" spans="1:21" s="18" customFormat="1" ht="13.5" customHeight="1">
      <c r="A104" s="15" t="s">
        <v>66</v>
      </c>
      <c r="B104" s="16" t="s">
        <v>14</v>
      </c>
      <c r="C104" s="15">
        <v>0</v>
      </c>
      <c r="D104" s="15"/>
      <c r="E104" s="15">
        <v>0</v>
      </c>
      <c r="F104" s="15"/>
      <c r="G104" s="15">
        <v>57470</v>
      </c>
      <c r="H104" s="15"/>
      <c r="I104" s="15">
        <v>0</v>
      </c>
      <c r="J104" s="19"/>
      <c r="K104" s="19">
        <f t="shared" si="0"/>
        <v>57470</v>
      </c>
      <c r="L104" s="19"/>
      <c r="M104" s="15">
        <v>52992</v>
      </c>
      <c r="N104" s="15"/>
      <c r="O104" s="15">
        <f>1+4477</f>
        <v>4478</v>
      </c>
      <c r="P104" s="15"/>
      <c r="Q104" s="15">
        <v>0</v>
      </c>
      <c r="R104" s="15"/>
      <c r="S104" s="15"/>
      <c r="T104" s="15"/>
      <c r="U104" s="15"/>
    </row>
    <row r="105" spans="1:21" s="18" customFormat="1" ht="13.5" customHeight="1">
      <c r="A105" s="15" t="s">
        <v>126</v>
      </c>
      <c r="B105" s="16"/>
      <c r="C105" s="15">
        <v>893976</v>
      </c>
      <c r="D105" s="15"/>
      <c r="E105" s="15">
        <v>0</v>
      </c>
      <c r="F105" s="15"/>
      <c r="G105" s="15">
        <v>0</v>
      </c>
      <c r="H105" s="15"/>
      <c r="I105" s="15">
        <v>0</v>
      </c>
      <c r="J105" s="15"/>
      <c r="K105" s="19">
        <f t="shared" si="0"/>
        <v>893976</v>
      </c>
      <c r="L105" s="15"/>
      <c r="M105" s="15">
        <v>736585</v>
      </c>
      <c r="N105" s="15"/>
      <c r="O105" s="15">
        <v>21150</v>
      </c>
      <c r="P105" s="15"/>
      <c r="Q105" s="15">
        <v>136241</v>
      </c>
      <c r="R105" s="15"/>
      <c r="S105" s="15"/>
      <c r="T105" s="15"/>
      <c r="U105" s="15"/>
    </row>
    <row r="106" spans="1:21" s="18" customFormat="1" ht="13.5" customHeight="1">
      <c r="A106" s="15" t="s">
        <v>127</v>
      </c>
      <c r="B106" s="16"/>
      <c r="C106" s="32">
        <v>1278173</v>
      </c>
      <c r="D106" s="15"/>
      <c r="E106" s="32">
        <v>0</v>
      </c>
      <c r="F106" s="15"/>
      <c r="G106" s="32">
        <v>49640</v>
      </c>
      <c r="H106" s="15"/>
      <c r="I106" s="32">
        <v>0</v>
      </c>
      <c r="J106" s="19"/>
      <c r="K106" s="32">
        <f t="shared" si="0"/>
        <v>1327813</v>
      </c>
      <c r="L106" s="19"/>
      <c r="M106" s="32">
        <v>950503</v>
      </c>
      <c r="N106" s="19"/>
      <c r="O106" s="32">
        <v>206160</v>
      </c>
      <c r="P106" s="19"/>
      <c r="Q106" s="32">
        <f>-1+171151</f>
        <v>171150</v>
      </c>
      <c r="R106" s="15"/>
      <c r="S106" s="15"/>
      <c r="T106" s="15"/>
      <c r="U106" s="15"/>
    </row>
    <row r="107" spans="1:21" s="18" customFormat="1" ht="13.5" customHeight="1">
      <c r="A107" s="15"/>
      <c r="B107" s="16"/>
      <c r="C107" s="21"/>
      <c r="D107" s="21"/>
      <c r="E107" s="21"/>
      <c r="F107" s="21"/>
      <c r="G107" s="21"/>
      <c r="H107" s="21"/>
      <c r="I107" s="21"/>
      <c r="J107" s="21"/>
      <c r="K107" s="15"/>
      <c r="L107" s="21"/>
      <c r="M107" s="21"/>
      <c r="N107" s="21"/>
      <c r="O107" s="21"/>
      <c r="P107" s="21"/>
      <c r="Q107" s="21"/>
      <c r="R107" s="15"/>
      <c r="S107" s="15"/>
      <c r="T107" s="15"/>
      <c r="U107" s="15"/>
    </row>
    <row r="108" spans="1:21" s="18" customFormat="1" ht="13.5" customHeight="1">
      <c r="A108" s="15" t="s">
        <v>74</v>
      </c>
      <c r="B108" s="16" t="s">
        <v>14</v>
      </c>
      <c r="C108" s="17">
        <f>SUM(C104:C106)</f>
        <v>2172149</v>
      </c>
      <c r="D108" s="15"/>
      <c r="E108" s="17">
        <f>SUM(E104:E106)</f>
        <v>0</v>
      </c>
      <c r="F108" s="15"/>
      <c r="G108" s="17">
        <f>SUM(G104:G106)</f>
        <v>107110</v>
      </c>
      <c r="H108" s="15"/>
      <c r="I108" s="17">
        <f>SUM(I104:I106)</f>
        <v>0</v>
      </c>
      <c r="J108" s="15"/>
      <c r="K108" s="17">
        <f>IF(SUM(C108:I108)=SUM(M108:Q108),SUM(M108:Q108),SUM(M108:Q108)-SUM(C108:I108))</f>
        <v>2279259</v>
      </c>
      <c r="L108" s="15"/>
      <c r="M108" s="17">
        <f>SUM(M104:M106)</f>
        <v>1740080</v>
      </c>
      <c r="N108" s="15"/>
      <c r="O108" s="17">
        <f>SUM(O104:O106)</f>
        <v>231788</v>
      </c>
      <c r="P108" s="15"/>
      <c r="Q108" s="17">
        <f>SUM(Q104:Q106)</f>
        <v>307391</v>
      </c>
      <c r="R108" s="15"/>
      <c r="S108" s="15"/>
      <c r="T108" s="15"/>
      <c r="U108" s="15"/>
    </row>
    <row r="109" spans="1:21" s="18" customFormat="1" ht="13.5" customHeight="1">
      <c r="A109" s="15"/>
      <c r="B109" s="16" t="s">
        <v>14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s="18" customFormat="1" ht="13.5" customHeight="1">
      <c r="A110" s="15" t="s">
        <v>18</v>
      </c>
      <c r="B110" s="16" t="s">
        <v>14</v>
      </c>
      <c r="C110" s="15" t="s">
        <v>14</v>
      </c>
      <c r="D110" s="15"/>
      <c r="E110" s="15" t="s">
        <v>14</v>
      </c>
      <c r="F110" s="15" t="s">
        <v>14</v>
      </c>
      <c r="G110" s="15" t="s">
        <v>14</v>
      </c>
      <c r="H110" s="15" t="s">
        <v>14</v>
      </c>
      <c r="I110" s="15" t="s">
        <v>14</v>
      </c>
      <c r="J110" s="15" t="s">
        <v>14</v>
      </c>
      <c r="K110" s="15"/>
      <c r="L110" s="15" t="s">
        <v>14</v>
      </c>
      <c r="M110" s="15" t="s">
        <v>14</v>
      </c>
      <c r="N110" s="15" t="s">
        <v>14</v>
      </c>
      <c r="O110" s="15" t="s">
        <v>14</v>
      </c>
      <c r="P110" s="15" t="s">
        <v>14</v>
      </c>
      <c r="Q110" s="15" t="s">
        <v>14</v>
      </c>
      <c r="R110" s="15"/>
      <c r="S110" s="15"/>
      <c r="T110" s="15"/>
      <c r="U110" s="15"/>
    </row>
    <row r="111" spans="1:21" s="18" customFormat="1" ht="13.5" customHeight="1">
      <c r="A111" s="15" t="s">
        <v>24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s="18" customFormat="1" ht="13.5" customHeight="1">
      <c r="A112" s="15" t="s">
        <v>31</v>
      </c>
      <c r="B112" s="16"/>
      <c r="C112" s="15">
        <v>0</v>
      </c>
      <c r="D112" s="15"/>
      <c r="E112" s="15">
        <v>0</v>
      </c>
      <c r="F112" s="15"/>
      <c r="G112" s="15">
        <v>6582</v>
      </c>
      <c r="H112" s="15"/>
      <c r="I112" s="15">
        <v>1309</v>
      </c>
      <c r="J112" s="15"/>
      <c r="K112" s="15">
        <f aca="true" t="shared" si="1" ref="K112:K170">IF(SUM(C112:I112)=SUM(M112:Q112),SUM(M112:Q112),SUM(M112:Q112)-SUM(C112:I112))</f>
        <v>7891</v>
      </c>
      <c r="L112" s="15"/>
      <c r="M112" s="15">
        <v>1309</v>
      </c>
      <c r="N112" s="15"/>
      <c r="O112" s="15">
        <f>-1+6583</f>
        <v>6582</v>
      </c>
      <c r="P112" s="15"/>
      <c r="Q112" s="15">
        <v>0</v>
      </c>
      <c r="R112" s="15"/>
      <c r="S112" s="15"/>
      <c r="T112" s="15"/>
      <c r="U112" s="15"/>
    </row>
    <row r="113" spans="1:21" s="18" customFormat="1" ht="13.5" customHeight="1">
      <c r="A113" s="15" t="s">
        <v>32</v>
      </c>
      <c r="B113" s="16"/>
      <c r="C113" s="15">
        <v>0</v>
      </c>
      <c r="D113" s="15"/>
      <c r="E113" s="15">
        <v>0</v>
      </c>
      <c r="F113" s="15"/>
      <c r="G113" s="15">
        <v>0</v>
      </c>
      <c r="H113" s="15"/>
      <c r="I113" s="15">
        <v>201063</v>
      </c>
      <c r="J113" s="15"/>
      <c r="K113" s="15">
        <f t="shared" si="1"/>
        <v>201063</v>
      </c>
      <c r="L113" s="15"/>
      <c r="M113" s="15">
        <v>170390</v>
      </c>
      <c r="N113" s="15"/>
      <c r="O113" s="15">
        <f>-1+30674</f>
        <v>30673</v>
      </c>
      <c r="P113" s="15"/>
      <c r="Q113" s="15">
        <v>0</v>
      </c>
      <c r="R113" s="15"/>
      <c r="S113" s="15"/>
      <c r="T113" s="15"/>
      <c r="U113" s="15"/>
    </row>
    <row r="114" spans="1:21" s="18" customFormat="1" ht="13.5" customHeight="1">
      <c r="A114" s="15" t="s">
        <v>135</v>
      </c>
      <c r="B114" s="16"/>
      <c r="C114" s="15">
        <v>0</v>
      </c>
      <c r="D114" s="15"/>
      <c r="E114" s="15">
        <v>0</v>
      </c>
      <c r="F114" s="15"/>
      <c r="G114" s="15">
        <v>0</v>
      </c>
      <c r="H114" s="15"/>
      <c r="I114" s="15">
        <v>4009</v>
      </c>
      <c r="J114" s="15"/>
      <c r="K114" s="15">
        <f t="shared" si="1"/>
        <v>4009</v>
      </c>
      <c r="L114" s="15"/>
      <c r="M114" s="15">
        <v>4009</v>
      </c>
      <c r="N114" s="15"/>
      <c r="O114" s="15">
        <v>0</v>
      </c>
      <c r="P114" s="15"/>
      <c r="Q114" s="15">
        <v>0</v>
      </c>
      <c r="R114" s="15"/>
      <c r="S114" s="15"/>
      <c r="T114" s="15"/>
      <c r="U114" s="15"/>
    </row>
    <row r="115" spans="1:21" s="18" customFormat="1" ht="13.5" customHeight="1">
      <c r="A115" s="15" t="s">
        <v>136</v>
      </c>
      <c r="B115" s="16"/>
      <c r="C115" s="15">
        <v>0</v>
      </c>
      <c r="D115" s="15"/>
      <c r="E115" s="15">
        <v>0</v>
      </c>
      <c r="F115" s="15"/>
      <c r="G115" s="15">
        <v>0</v>
      </c>
      <c r="H115" s="15"/>
      <c r="I115" s="15">
        <v>611</v>
      </c>
      <c r="J115" s="15"/>
      <c r="K115" s="15">
        <f t="shared" si="1"/>
        <v>611</v>
      </c>
      <c r="L115" s="15"/>
      <c r="M115" s="15">
        <v>0</v>
      </c>
      <c r="N115" s="15"/>
      <c r="O115" s="15">
        <v>611</v>
      </c>
      <c r="P115" s="15"/>
      <c r="Q115" s="15">
        <v>0</v>
      </c>
      <c r="R115" s="15"/>
      <c r="S115" s="15"/>
      <c r="T115" s="15"/>
      <c r="U115" s="15"/>
    </row>
    <row r="116" spans="1:21" s="18" customFormat="1" ht="13.5" customHeight="1">
      <c r="A116" s="15" t="s">
        <v>129</v>
      </c>
      <c r="B116" s="16"/>
      <c r="C116" s="15">
        <v>0</v>
      </c>
      <c r="D116" s="15"/>
      <c r="E116" s="15">
        <v>0</v>
      </c>
      <c r="F116" s="15"/>
      <c r="G116" s="15">
        <v>0</v>
      </c>
      <c r="H116" s="15"/>
      <c r="I116" s="15">
        <v>950</v>
      </c>
      <c r="J116" s="15"/>
      <c r="K116" s="15">
        <f t="shared" si="1"/>
        <v>950</v>
      </c>
      <c r="L116" s="15"/>
      <c r="M116" s="15">
        <v>0</v>
      </c>
      <c r="N116" s="15"/>
      <c r="O116" s="15">
        <v>950</v>
      </c>
      <c r="P116" s="15"/>
      <c r="Q116" s="15">
        <v>0</v>
      </c>
      <c r="R116" s="15"/>
      <c r="S116" s="15"/>
      <c r="T116" s="15"/>
      <c r="U116" s="15"/>
    </row>
    <row r="117" spans="1:21" s="18" customFormat="1" ht="13.5" customHeight="1">
      <c r="A117" s="15" t="s">
        <v>112</v>
      </c>
      <c r="B117" s="16"/>
      <c r="C117" s="20">
        <v>0</v>
      </c>
      <c r="D117" s="15"/>
      <c r="E117" s="20">
        <v>0</v>
      </c>
      <c r="F117" s="15"/>
      <c r="G117" s="20">
        <v>0</v>
      </c>
      <c r="H117" s="15"/>
      <c r="I117" s="20">
        <v>2100</v>
      </c>
      <c r="J117" s="15"/>
      <c r="K117" s="20">
        <f t="shared" si="1"/>
        <v>2100</v>
      </c>
      <c r="L117" s="15"/>
      <c r="M117" s="20">
        <v>0</v>
      </c>
      <c r="N117" s="15"/>
      <c r="O117" s="20">
        <v>2100</v>
      </c>
      <c r="P117" s="15"/>
      <c r="Q117" s="20">
        <v>0</v>
      </c>
      <c r="R117" s="15"/>
      <c r="S117" s="15"/>
      <c r="T117" s="15"/>
      <c r="U117" s="15"/>
    </row>
    <row r="118" spans="1:21" s="18" customFormat="1" ht="13.5" customHeight="1">
      <c r="A118" s="15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s="18" customFormat="1" ht="13.5" customHeight="1">
      <c r="A119" s="15" t="s">
        <v>25</v>
      </c>
      <c r="B119" s="16"/>
      <c r="C119" s="17">
        <f>SUM(C112:C117)</f>
        <v>0</v>
      </c>
      <c r="D119" s="15"/>
      <c r="E119" s="17">
        <f>SUM(E112:E117)</f>
        <v>0</v>
      </c>
      <c r="F119" s="15"/>
      <c r="G119" s="17">
        <f>SUM(G112:G117)</f>
        <v>6582</v>
      </c>
      <c r="H119" s="15"/>
      <c r="I119" s="17">
        <f>SUM(I112:I117)</f>
        <v>210042</v>
      </c>
      <c r="J119" s="15"/>
      <c r="K119" s="17">
        <f t="shared" si="1"/>
        <v>216624</v>
      </c>
      <c r="L119" s="15"/>
      <c r="M119" s="17">
        <f>SUM(M112:M117)</f>
        <v>175708</v>
      </c>
      <c r="N119" s="15"/>
      <c r="O119" s="17">
        <f>SUM(O112:O117)</f>
        <v>40916</v>
      </c>
      <c r="P119" s="15"/>
      <c r="Q119" s="17">
        <f>SUM(Q112:Q117)</f>
        <v>0</v>
      </c>
      <c r="R119" s="15"/>
      <c r="S119" s="15"/>
      <c r="T119" s="15"/>
      <c r="U119" s="15"/>
    </row>
    <row r="120" spans="1:21" s="18" customFormat="1" ht="13.5" customHeight="1">
      <c r="A120" s="15"/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s="18" customFormat="1" ht="13.5" customHeight="1">
      <c r="A121" s="15" t="s">
        <v>26</v>
      </c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s="18" customFormat="1" ht="13.5" customHeight="1">
      <c r="A122" s="15" t="s">
        <v>137</v>
      </c>
      <c r="B122" s="16"/>
      <c r="C122" s="15">
        <v>0</v>
      </c>
      <c r="D122" s="15"/>
      <c r="E122" s="15">
        <v>0</v>
      </c>
      <c r="F122" s="15"/>
      <c r="G122" s="15">
        <v>0</v>
      </c>
      <c r="H122" s="15"/>
      <c r="I122" s="15">
        <v>6800</v>
      </c>
      <c r="J122" s="15"/>
      <c r="K122" s="15">
        <f t="shared" si="1"/>
        <v>6800</v>
      </c>
      <c r="L122" s="15"/>
      <c r="M122" s="15">
        <v>6800</v>
      </c>
      <c r="N122" s="15"/>
      <c r="O122" s="15">
        <v>0</v>
      </c>
      <c r="P122" s="15"/>
      <c r="Q122" s="15">
        <v>0</v>
      </c>
      <c r="R122" s="15"/>
      <c r="S122" s="15"/>
      <c r="T122" s="15"/>
      <c r="U122" s="15"/>
    </row>
    <row r="123" spans="1:21" s="18" customFormat="1" ht="13.5" customHeight="1">
      <c r="A123" s="15" t="s">
        <v>138</v>
      </c>
      <c r="B123" s="16"/>
      <c r="C123" s="15">
        <v>0</v>
      </c>
      <c r="D123" s="15"/>
      <c r="E123" s="15">
        <v>0</v>
      </c>
      <c r="F123" s="15"/>
      <c r="G123" s="15">
        <v>0</v>
      </c>
      <c r="H123" s="15"/>
      <c r="I123" s="15">
        <v>96938</v>
      </c>
      <c r="J123" s="15"/>
      <c r="K123" s="15">
        <f t="shared" si="1"/>
        <v>96938</v>
      </c>
      <c r="L123" s="15"/>
      <c r="M123" s="15">
        <v>96938</v>
      </c>
      <c r="N123" s="15"/>
      <c r="O123" s="15">
        <v>0</v>
      </c>
      <c r="P123" s="15"/>
      <c r="Q123" s="15">
        <v>0</v>
      </c>
      <c r="R123" s="15"/>
      <c r="S123" s="15"/>
      <c r="T123" s="15"/>
      <c r="U123" s="15"/>
    </row>
    <row r="124" spans="1:21" s="18" customFormat="1" ht="13.5" customHeight="1">
      <c r="A124" s="15" t="s">
        <v>56</v>
      </c>
      <c r="B124" s="16"/>
      <c r="C124" s="15">
        <v>0</v>
      </c>
      <c r="D124" s="15"/>
      <c r="E124" s="15">
        <v>0</v>
      </c>
      <c r="F124" s="15"/>
      <c r="G124" s="15">
        <v>0</v>
      </c>
      <c r="H124" s="15"/>
      <c r="I124" s="15">
        <v>74095</v>
      </c>
      <c r="J124" s="15"/>
      <c r="K124" s="15">
        <f t="shared" si="1"/>
        <v>74095</v>
      </c>
      <c r="L124" s="15"/>
      <c r="M124" s="15">
        <v>67510</v>
      </c>
      <c r="N124" s="15"/>
      <c r="O124" s="15">
        <v>6585</v>
      </c>
      <c r="P124" s="15"/>
      <c r="Q124" s="15">
        <v>0</v>
      </c>
      <c r="R124" s="15"/>
      <c r="S124" s="15"/>
      <c r="T124" s="15"/>
      <c r="U124" s="15"/>
    </row>
    <row r="125" spans="1:21" s="18" customFormat="1" ht="13.5" customHeight="1">
      <c r="A125" s="15" t="s">
        <v>113</v>
      </c>
      <c r="B125" s="16"/>
      <c r="C125" s="17">
        <v>0</v>
      </c>
      <c r="D125" s="15"/>
      <c r="E125" s="17">
        <v>0</v>
      </c>
      <c r="F125" s="15"/>
      <c r="G125" s="17">
        <v>0</v>
      </c>
      <c r="H125" s="15"/>
      <c r="I125" s="17">
        <v>59869</v>
      </c>
      <c r="J125" s="15"/>
      <c r="K125" s="17">
        <f t="shared" si="1"/>
        <v>59869</v>
      </c>
      <c r="L125" s="15"/>
      <c r="M125" s="17">
        <v>59652</v>
      </c>
      <c r="N125" s="15"/>
      <c r="O125" s="17">
        <v>217</v>
      </c>
      <c r="P125" s="15"/>
      <c r="Q125" s="17">
        <v>0</v>
      </c>
      <c r="R125" s="15"/>
      <c r="S125" s="15"/>
      <c r="T125" s="15"/>
      <c r="U125" s="15"/>
    </row>
    <row r="126" spans="1:21" s="18" customFormat="1" ht="13.5" customHeight="1">
      <c r="A126" s="15"/>
      <c r="B126" s="16"/>
      <c r="C126" s="19"/>
      <c r="D126" s="15"/>
      <c r="E126" s="19"/>
      <c r="F126" s="15"/>
      <c r="G126" s="19"/>
      <c r="H126" s="15"/>
      <c r="I126" s="19"/>
      <c r="J126" s="15"/>
      <c r="K126" s="19"/>
      <c r="L126" s="15"/>
      <c r="M126" s="19"/>
      <c r="N126" s="15"/>
      <c r="O126" s="19"/>
      <c r="P126" s="15"/>
      <c r="Q126" s="19"/>
      <c r="R126" s="15"/>
      <c r="S126" s="15"/>
      <c r="T126" s="15"/>
      <c r="U126" s="15"/>
    </row>
    <row r="127" spans="1:21" s="18" customFormat="1" ht="13.5" customHeight="1">
      <c r="A127" s="15" t="s">
        <v>27</v>
      </c>
      <c r="B127" s="16"/>
      <c r="C127" s="17">
        <f>SUM(C122:C125)</f>
        <v>0</v>
      </c>
      <c r="D127" s="15"/>
      <c r="E127" s="17">
        <f>SUM(E122:E125)</f>
        <v>0</v>
      </c>
      <c r="F127" s="15"/>
      <c r="G127" s="17">
        <f>SUM(G122:G125)</f>
        <v>0</v>
      </c>
      <c r="H127" s="15"/>
      <c r="I127" s="17">
        <f>SUM(I122:I125)</f>
        <v>237702</v>
      </c>
      <c r="J127" s="15"/>
      <c r="K127" s="17">
        <f t="shared" si="1"/>
        <v>237702</v>
      </c>
      <c r="L127" s="15"/>
      <c r="M127" s="17">
        <f>SUM(M122:M125)</f>
        <v>230900</v>
      </c>
      <c r="N127" s="15"/>
      <c r="O127" s="17">
        <f>SUM(O122:O125)</f>
        <v>6802</v>
      </c>
      <c r="P127" s="15"/>
      <c r="Q127" s="17">
        <f>SUM(Q122:Q125)</f>
        <v>0</v>
      </c>
      <c r="R127" s="15"/>
      <c r="S127" s="15"/>
      <c r="T127" s="15"/>
      <c r="U127" s="15"/>
    </row>
    <row r="128" spans="1:21" s="18" customFormat="1" ht="13.5" customHeight="1">
      <c r="A128" s="15"/>
      <c r="B128" s="16"/>
      <c r="C128" s="19"/>
      <c r="D128" s="15"/>
      <c r="E128" s="19"/>
      <c r="F128" s="15"/>
      <c r="G128" s="19"/>
      <c r="H128" s="15"/>
      <c r="I128" s="19"/>
      <c r="J128" s="15"/>
      <c r="K128" s="19"/>
      <c r="L128" s="15"/>
      <c r="M128" s="19"/>
      <c r="N128" s="15"/>
      <c r="O128" s="19"/>
      <c r="P128" s="15"/>
      <c r="Q128" s="19"/>
      <c r="R128" s="15"/>
      <c r="S128" s="15"/>
      <c r="T128" s="15"/>
      <c r="U128" s="15"/>
    </row>
    <row r="129" spans="1:21" s="18" customFormat="1" ht="13.5" customHeight="1">
      <c r="A129" s="15" t="s">
        <v>140</v>
      </c>
      <c r="B129" s="16"/>
      <c r="C129" s="20">
        <v>0</v>
      </c>
      <c r="D129" s="15"/>
      <c r="E129" s="20">
        <v>0</v>
      </c>
      <c r="F129" s="15"/>
      <c r="G129" s="20">
        <v>0</v>
      </c>
      <c r="H129" s="15"/>
      <c r="I129" s="20">
        <v>3400</v>
      </c>
      <c r="J129" s="15"/>
      <c r="K129" s="20">
        <f t="shared" si="1"/>
        <v>3400</v>
      </c>
      <c r="L129" s="15"/>
      <c r="M129" s="20">
        <v>3400</v>
      </c>
      <c r="N129" s="15"/>
      <c r="O129" s="20">
        <v>0</v>
      </c>
      <c r="P129" s="15"/>
      <c r="Q129" s="20">
        <v>0</v>
      </c>
      <c r="R129" s="15"/>
      <c r="S129" s="15"/>
      <c r="T129" s="15"/>
      <c r="U129" s="15"/>
    </row>
    <row r="130" spans="1:21" s="18" customFormat="1" ht="13.5" customHeight="1">
      <c r="A130" s="15"/>
      <c r="B130" s="16"/>
      <c r="C130" s="19"/>
      <c r="D130" s="15"/>
      <c r="E130" s="19"/>
      <c r="F130" s="15"/>
      <c r="G130" s="19"/>
      <c r="H130" s="15"/>
      <c r="I130" s="19"/>
      <c r="J130" s="15"/>
      <c r="K130" s="19"/>
      <c r="L130" s="15"/>
      <c r="M130" s="19"/>
      <c r="N130" s="15"/>
      <c r="O130" s="19"/>
      <c r="P130" s="15"/>
      <c r="Q130" s="19"/>
      <c r="R130" s="15"/>
      <c r="S130" s="15"/>
      <c r="T130" s="15"/>
      <c r="U130" s="15"/>
    </row>
    <row r="131" spans="1:21" s="18" customFormat="1" ht="13.5" customHeight="1">
      <c r="A131" s="15" t="s">
        <v>91</v>
      </c>
      <c r="B131" s="16"/>
      <c r="C131" s="19"/>
      <c r="D131" s="15"/>
      <c r="E131" s="19"/>
      <c r="F131" s="15"/>
      <c r="G131" s="19"/>
      <c r="H131" s="15"/>
      <c r="I131" s="19"/>
      <c r="J131" s="15"/>
      <c r="K131" s="19"/>
      <c r="L131" s="15"/>
      <c r="M131" s="19"/>
      <c r="N131" s="15"/>
      <c r="O131" s="19"/>
      <c r="P131" s="15"/>
      <c r="Q131" s="19"/>
      <c r="R131" s="15"/>
      <c r="S131" s="15"/>
      <c r="T131" s="15"/>
      <c r="U131" s="15"/>
    </row>
    <row r="132" spans="1:21" s="18" customFormat="1" ht="13.5" customHeight="1">
      <c r="A132" s="15" t="s">
        <v>89</v>
      </c>
      <c r="B132" s="16"/>
      <c r="C132" s="19">
        <v>0</v>
      </c>
      <c r="D132" s="15"/>
      <c r="E132" s="19">
        <v>0</v>
      </c>
      <c r="F132" s="15"/>
      <c r="G132" s="19">
        <v>0</v>
      </c>
      <c r="H132" s="15"/>
      <c r="I132" s="19">
        <v>82963</v>
      </c>
      <c r="J132" s="15"/>
      <c r="K132" s="19">
        <f t="shared" si="1"/>
        <v>82963</v>
      </c>
      <c r="L132" s="15"/>
      <c r="M132" s="19">
        <v>74027</v>
      </c>
      <c r="N132" s="15"/>
      <c r="O132" s="19">
        <v>8936</v>
      </c>
      <c r="P132" s="15"/>
      <c r="Q132" s="19">
        <v>0</v>
      </c>
      <c r="R132" s="15"/>
      <c r="S132" s="15"/>
      <c r="T132" s="15"/>
      <c r="U132" s="15"/>
    </row>
    <row r="133" spans="1:21" s="18" customFormat="1" ht="13.5" customHeight="1">
      <c r="A133" s="15" t="s">
        <v>141</v>
      </c>
      <c r="B133" s="16"/>
      <c r="C133" s="20">
        <v>0</v>
      </c>
      <c r="D133" s="15"/>
      <c r="E133" s="20">
        <v>0</v>
      </c>
      <c r="F133" s="15"/>
      <c r="G133" s="20">
        <v>0</v>
      </c>
      <c r="H133" s="15"/>
      <c r="I133" s="20">
        <v>6800</v>
      </c>
      <c r="J133" s="15"/>
      <c r="K133" s="20">
        <f t="shared" si="1"/>
        <v>6800</v>
      </c>
      <c r="L133" s="15"/>
      <c r="M133" s="20">
        <v>6800</v>
      </c>
      <c r="N133" s="15"/>
      <c r="O133" s="20">
        <v>0</v>
      </c>
      <c r="P133" s="15"/>
      <c r="Q133" s="20">
        <v>0</v>
      </c>
      <c r="R133" s="15"/>
      <c r="S133" s="15"/>
      <c r="T133" s="15"/>
      <c r="U133" s="15"/>
    </row>
    <row r="134" spans="1:21" s="18" customFormat="1" ht="13.5" customHeight="1">
      <c r="A134" s="15" t="s">
        <v>0</v>
      </c>
      <c r="B134" s="16"/>
      <c r="C134" s="19"/>
      <c r="D134" s="15"/>
      <c r="E134" s="19"/>
      <c r="F134" s="15"/>
      <c r="G134" s="19"/>
      <c r="H134" s="15"/>
      <c r="I134" s="19"/>
      <c r="J134" s="15"/>
      <c r="K134" s="19"/>
      <c r="L134" s="15"/>
      <c r="M134" s="19"/>
      <c r="N134" s="15"/>
      <c r="O134" s="19"/>
      <c r="P134" s="15"/>
      <c r="Q134" s="19"/>
      <c r="R134" s="15"/>
      <c r="S134" s="15"/>
      <c r="T134" s="15"/>
      <c r="U134" s="15"/>
    </row>
    <row r="135" spans="1:21" s="18" customFormat="1" ht="13.5" customHeight="1">
      <c r="A135" s="15" t="s">
        <v>118</v>
      </c>
      <c r="B135" s="16"/>
      <c r="C135" s="20">
        <f>SUM(C132:C134)</f>
        <v>0</v>
      </c>
      <c r="D135" s="15"/>
      <c r="E135" s="20">
        <f>SUM(E132:E134)</f>
        <v>0</v>
      </c>
      <c r="F135" s="15"/>
      <c r="G135" s="20">
        <f>SUM(G132:G134)</f>
        <v>0</v>
      </c>
      <c r="H135" s="15"/>
      <c r="I135" s="20">
        <f>SUM(I132:I134)</f>
        <v>89763</v>
      </c>
      <c r="J135" s="15"/>
      <c r="K135" s="20">
        <f>SUM(K132:K134)</f>
        <v>89763</v>
      </c>
      <c r="L135" s="15"/>
      <c r="M135" s="20">
        <f>SUM(M132:M134)</f>
        <v>80827</v>
      </c>
      <c r="N135" s="15"/>
      <c r="O135" s="20">
        <f>SUM(O132:O134)</f>
        <v>8936</v>
      </c>
      <c r="P135" s="15"/>
      <c r="Q135" s="20">
        <f>SUM(Q132:Q134)</f>
        <v>0</v>
      </c>
      <c r="R135" s="15"/>
      <c r="S135" s="15"/>
      <c r="T135" s="15"/>
      <c r="U135" s="15"/>
    </row>
    <row r="136" spans="1:21" s="18" customFormat="1" ht="13.5" customHeight="1">
      <c r="A136" s="15"/>
      <c r="B136" s="16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s="18" customFormat="1" ht="13.5" customHeight="1">
      <c r="A137" s="15" t="s">
        <v>75</v>
      </c>
      <c r="B137" s="16" t="s">
        <v>14</v>
      </c>
      <c r="C137" s="17">
        <f>SUM(C119+C127+C135+C129)</f>
        <v>0</v>
      </c>
      <c r="D137" s="15" t="s">
        <v>0</v>
      </c>
      <c r="E137" s="17">
        <f>SUM(E119+E127+E135+E129)</f>
        <v>0</v>
      </c>
      <c r="F137" s="15"/>
      <c r="G137" s="17">
        <f>SUM(G119+G127+G135+G129)</f>
        <v>6582</v>
      </c>
      <c r="H137" s="15"/>
      <c r="I137" s="17">
        <f>SUM(I119+I127+I135+I129)</f>
        <v>540907</v>
      </c>
      <c r="J137" s="15"/>
      <c r="K137" s="17">
        <f t="shared" si="1"/>
        <v>547489</v>
      </c>
      <c r="L137" s="15"/>
      <c r="M137" s="17">
        <f>SUM(M119+M127+M135+M129)</f>
        <v>490835</v>
      </c>
      <c r="N137" s="15"/>
      <c r="O137" s="17">
        <f>SUM(O119+O127+O135+O129)</f>
        <v>56654</v>
      </c>
      <c r="P137" s="15"/>
      <c r="Q137" s="17">
        <f>SUM(Q119+Q127+Q135+Q129)</f>
        <v>0</v>
      </c>
      <c r="R137" s="15"/>
      <c r="S137" s="15"/>
      <c r="T137" s="15"/>
      <c r="U137" s="15"/>
    </row>
    <row r="138" spans="1:21" s="18" customFormat="1" ht="13.5" customHeight="1">
      <c r="A138" s="19"/>
      <c r="B138" s="28"/>
      <c r="C138" s="19"/>
      <c r="D138" s="19"/>
      <c r="E138" s="19"/>
      <c r="F138" s="19"/>
      <c r="G138" s="19"/>
      <c r="H138" s="19"/>
      <c r="I138" s="19"/>
      <c r="J138" s="19"/>
      <c r="K138" s="15"/>
      <c r="L138" s="19"/>
      <c r="M138" s="19"/>
      <c r="N138" s="19"/>
      <c r="O138" s="19"/>
      <c r="P138" s="19"/>
      <c r="Q138" s="19"/>
      <c r="R138" s="19"/>
      <c r="S138" s="15"/>
      <c r="T138" s="15"/>
      <c r="U138" s="15"/>
    </row>
    <row r="139" spans="1:21" s="18" customFormat="1" ht="13.5" customHeight="1">
      <c r="A139" s="15" t="s">
        <v>19</v>
      </c>
      <c r="B139" s="16" t="s">
        <v>14</v>
      </c>
      <c r="C139" s="15" t="s">
        <v>14</v>
      </c>
      <c r="D139" s="15" t="s">
        <v>14</v>
      </c>
      <c r="E139" s="15" t="s">
        <v>14</v>
      </c>
      <c r="F139" s="15" t="s">
        <v>14</v>
      </c>
      <c r="G139" s="15" t="s">
        <v>14</v>
      </c>
      <c r="H139" s="15" t="s">
        <v>14</v>
      </c>
      <c r="I139" s="15" t="s">
        <v>14</v>
      </c>
      <c r="J139" s="15" t="s">
        <v>14</v>
      </c>
      <c r="K139" s="15"/>
      <c r="L139" s="15" t="s">
        <v>14</v>
      </c>
      <c r="M139" s="15" t="s">
        <v>14</v>
      </c>
      <c r="N139" s="15" t="s">
        <v>14</v>
      </c>
      <c r="O139" s="15" t="s">
        <v>14</v>
      </c>
      <c r="P139" s="15" t="s">
        <v>14</v>
      </c>
      <c r="Q139" s="15" t="s">
        <v>14</v>
      </c>
      <c r="R139" s="15"/>
      <c r="S139" s="15"/>
      <c r="T139" s="15"/>
      <c r="U139" s="15"/>
    </row>
    <row r="140" spans="1:21" s="18" customFormat="1" ht="13.5" customHeight="1">
      <c r="A140" s="15" t="s">
        <v>67</v>
      </c>
      <c r="B140" s="16" t="s">
        <v>14</v>
      </c>
      <c r="C140" s="15">
        <v>0</v>
      </c>
      <c r="D140" s="15"/>
      <c r="E140" s="15">
        <v>0</v>
      </c>
      <c r="F140" s="15"/>
      <c r="G140" s="15">
        <v>0</v>
      </c>
      <c r="H140" s="15"/>
      <c r="I140" s="15">
        <v>532021</v>
      </c>
      <c r="J140" s="15"/>
      <c r="K140" s="15">
        <f t="shared" si="1"/>
        <v>532021</v>
      </c>
      <c r="L140" s="15"/>
      <c r="M140" s="15">
        <v>565430</v>
      </c>
      <c r="N140" s="15"/>
      <c r="O140" s="15">
        <v>-33409</v>
      </c>
      <c r="P140" s="15"/>
      <c r="Q140" s="15">
        <v>0</v>
      </c>
      <c r="R140" s="15"/>
      <c r="S140" s="15"/>
      <c r="T140" s="15"/>
      <c r="U140" s="15"/>
    </row>
    <row r="141" spans="1:21" s="18" customFormat="1" ht="13.5" customHeight="1">
      <c r="A141" s="15" t="s">
        <v>92</v>
      </c>
      <c r="B141" s="16" t="s">
        <v>14</v>
      </c>
      <c r="C141" s="15">
        <v>0</v>
      </c>
      <c r="D141" s="15"/>
      <c r="E141" s="15">
        <v>0</v>
      </c>
      <c r="F141" s="15"/>
      <c r="G141" s="15">
        <v>0</v>
      </c>
      <c r="H141" s="15"/>
      <c r="I141" s="15">
        <v>215911</v>
      </c>
      <c r="J141" s="15"/>
      <c r="K141" s="15">
        <f t="shared" si="1"/>
        <v>215911</v>
      </c>
      <c r="L141" s="15"/>
      <c r="M141" s="15">
        <v>137206</v>
      </c>
      <c r="N141" s="15"/>
      <c r="O141" s="15">
        <v>78705</v>
      </c>
      <c r="P141" s="15"/>
      <c r="Q141" s="15">
        <v>0</v>
      </c>
      <c r="R141" s="15"/>
      <c r="S141" s="15"/>
      <c r="T141" s="15"/>
      <c r="U141" s="15"/>
    </row>
    <row r="142" spans="1:21" s="18" customFormat="1" ht="13.5" customHeight="1">
      <c r="A142" s="15" t="s">
        <v>68</v>
      </c>
      <c r="B142" s="16" t="s">
        <v>14</v>
      </c>
      <c r="C142" s="15">
        <v>0</v>
      </c>
      <c r="D142" s="15"/>
      <c r="E142" s="15">
        <v>0</v>
      </c>
      <c r="F142" s="15"/>
      <c r="G142" s="15">
        <v>0</v>
      </c>
      <c r="H142" s="15"/>
      <c r="I142" s="15">
        <v>1447620</v>
      </c>
      <c r="J142" s="15"/>
      <c r="K142" s="15">
        <f t="shared" si="1"/>
        <v>1447620</v>
      </c>
      <c r="L142" s="15"/>
      <c r="M142" s="15">
        <v>1280019</v>
      </c>
      <c r="N142" s="15"/>
      <c r="O142" s="15">
        <v>167601</v>
      </c>
      <c r="P142" s="15"/>
      <c r="Q142" s="15">
        <v>0</v>
      </c>
      <c r="R142" s="15"/>
      <c r="S142" s="15"/>
      <c r="T142" s="15"/>
      <c r="U142" s="15"/>
    </row>
    <row r="143" spans="1:21" s="18" customFormat="1" ht="13.5" customHeight="1">
      <c r="A143" s="15" t="s">
        <v>69</v>
      </c>
      <c r="B143" s="16" t="s">
        <v>14</v>
      </c>
      <c r="C143" s="15">
        <v>0</v>
      </c>
      <c r="D143" s="15"/>
      <c r="E143" s="15">
        <v>0</v>
      </c>
      <c r="F143" s="15"/>
      <c r="G143" s="15">
        <v>0</v>
      </c>
      <c r="H143" s="15"/>
      <c r="I143" s="15">
        <v>772529</v>
      </c>
      <c r="J143" s="15"/>
      <c r="K143" s="15">
        <f t="shared" si="1"/>
        <v>772529</v>
      </c>
      <c r="L143" s="15"/>
      <c r="M143" s="15">
        <v>705748</v>
      </c>
      <c r="N143" s="15"/>
      <c r="O143" s="15">
        <v>66781</v>
      </c>
      <c r="P143" s="15"/>
      <c r="Q143" s="15">
        <v>0</v>
      </c>
      <c r="R143" s="15"/>
      <c r="S143" s="15"/>
      <c r="T143" s="15"/>
      <c r="U143" s="15"/>
    </row>
    <row r="144" spans="1:21" s="18" customFormat="1" ht="13.5" customHeight="1">
      <c r="A144" s="15" t="s">
        <v>70</v>
      </c>
      <c r="B144" s="16" t="s">
        <v>14</v>
      </c>
      <c r="C144" s="15">
        <v>0</v>
      </c>
      <c r="D144" s="15"/>
      <c r="E144" s="15">
        <v>0</v>
      </c>
      <c r="F144" s="15"/>
      <c r="G144" s="15">
        <v>0</v>
      </c>
      <c r="H144" s="15"/>
      <c r="I144" s="15">
        <v>418110</v>
      </c>
      <c r="J144" s="15"/>
      <c r="K144" s="15">
        <f t="shared" si="1"/>
        <v>418110</v>
      </c>
      <c r="L144" s="15"/>
      <c r="M144" s="15">
        <v>404464</v>
      </c>
      <c r="N144" s="15"/>
      <c r="O144" s="15">
        <v>13646</v>
      </c>
      <c r="P144" s="15"/>
      <c r="Q144" s="15">
        <v>0</v>
      </c>
      <c r="R144" s="15"/>
      <c r="S144" s="15"/>
      <c r="T144" s="15"/>
      <c r="U144" s="15"/>
    </row>
    <row r="145" spans="1:21" s="18" customFormat="1" ht="13.5" customHeight="1">
      <c r="A145" s="15" t="s">
        <v>71</v>
      </c>
      <c r="B145" s="16"/>
      <c r="C145" s="15">
        <v>0</v>
      </c>
      <c r="D145" s="15"/>
      <c r="E145" s="15">
        <v>0</v>
      </c>
      <c r="F145" s="15"/>
      <c r="G145" s="15">
        <v>0</v>
      </c>
      <c r="H145" s="15"/>
      <c r="I145" s="15">
        <v>511204</v>
      </c>
      <c r="J145" s="15"/>
      <c r="K145" s="15">
        <f t="shared" si="1"/>
        <v>511204</v>
      </c>
      <c r="L145" s="15"/>
      <c r="M145" s="15">
        <v>274430</v>
      </c>
      <c r="N145" s="15"/>
      <c r="O145" s="15">
        <v>236774</v>
      </c>
      <c r="P145" s="15"/>
      <c r="Q145" s="15">
        <v>0</v>
      </c>
      <c r="R145" s="15"/>
      <c r="S145" s="15"/>
      <c r="T145" s="15"/>
      <c r="U145" s="15"/>
    </row>
    <row r="146" spans="1:21" s="18" customFormat="1" ht="13.5" customHeight="1">
      <c r="A146" s="15" t="s">
        <v>72</v>
      </c>
      <c r="B146" s="16"/>
      <c r="C146" s="15">
        <v>0</v>
      </c>
      <c r="D146" s="15"/>
      <c r="E146" s="15">
        <v>0</v>
      </c>
      <c r="F146" s="15"/>
      <c r="G146" s="15">
        <v>8021</v>
      </c>
      <c r="H146" s="15"/>
      <c r="I146" s="15">
        <v>215252</v>
      </c>
      <c r="J146" s="15"/>
      <c r="K146" s="15">
        <f t="shared" si="1"/>
        <v>223273</v>
      </c>
      <c r="L146" s="15"/>
      <c r="M146" s="15">
        <v>211568</v>
      </c>
      <c r="N146" s="15"/>
      <c r="O146" s="15">
        <v>11705</v>
      </c>
      <c r="P146" s="15"/>
      <c r="Q146" s="15">
        <v>0</v>
      </c>
      <c r="R146" s="15"/>
      <c r="S146" s="15"/>
      <c r="T146" s="15"/>
      <c r="U146" s="15"/>
    </row>
    <row r="147" spans="1:21" s="18" customFormat="1" ht="13.5" customHeight="1">
      <c r="A147" s="15" t="s">
        <v>109</v>
      </c>
      <c r="B147" s="16"/>
      <c r="C147" s="15">
        <v>0</v>
      </c>
      <c r="D147" s="15"/>
      <c r="E147" s="15">
        <v>0</v>
      </c>
      <c r="F147" s="15"/>
      <c r="G147" s="15">
        <v>0</v>
      </c>
      <c r="H147" s="15"/>
      <c r="I147" s="15">
        <v>34</v>
      </c>
      <c r="J147" s="15"/>
      <c r="K147" s="15">
        <f t="shared" si="1"/>
        <v>34</v>
      </c>
      <c r="L147" s="15"/>
      <c r="M147" s="15">
        <v>0</v>
      </c>
      <c r="N147" s="15"/>
      <c r="O147" s="15">
        <v>34</v>
      </c>
      <c r="P147" s="15"/>
      <c r="Q147" s="15">
        <v>0</v>
      </c>
      <c r="R147" s="15"/>
      <c r="S147" s="15"/>
      <c r="T147" s="15"/>
      <c r="U147" s="15"/>
    </row>
    <row r="148" spans="1:21" s="18" customFormat="1" ht="13.5" customHeight="1">
      <c r="A148" s="15" t="s">
        <v>114</v>
      </c>
      <c r="B148" s="16"/>
      <c r="C148" s="17">
        <v>0</v>
      </c>
      <c r="D148" s="15"/>
      <c r="E148" s="17">
        <v>0</v>
      </c>
      <c r="F148" s="15"/>
      <c r="G148" s="17">
        <v>0</v>
      </c>
      <c r="H148" s="15"/>
      <c r="I148" s="17">
        <v>315656</v>
      </c>
      <c r="J148" s="15"/>
      <c r="K148" s="17">
        <f t="shared" si="1"/>
        <v>315656</v>
      </c>
      <c r="L148" s="15"/>
      <c r="M148" s="17">
        <v>311491</v>
      </c>
      <c r="N148" s="15"/>
      <c r="O148" s="17">
        <v>4165</v>
      </c>
      <c r="P148" s="15"/>
      <c r="Q148" s="17">
        <v>0</v>
      </c>
      <c r="R148" s="15"/>
      <c r="S148" s="15"/>
      <c r="T148" s="15"/>
      <c r="U148" s="15"/>
    </row>
    <row r="149" spans="1:21" s="18" customFormat="1" ht="13.5" customHeight="1">
      <c r="A149" s="15"/>
      <c r="B149" s="16"/>
      <c r="C149" s="21"/>
      <c r="D149" s="21"/>
      <c r="E149" s="21"/>
      <c r="F149" s="21"/>
      <c r="G149" s="21"/>
      <c r="H149" s="21"/>
      <c r="I149" s="21"/>
      <c r="J149" s="21"/>
      <c r="K149" s="15"/>
      <c r="L149" s="21"/>
      <c r="M149" s="21"/>
      <c r="N149" s="21"/>
      <c r="O149" s="21"/>
      <c r="P149" s="21"/>
      <c r="Q149" s="21"/>
      <c r="R149" s="15"/>
      <c r="S149" s="15"/>
      <c r="T149" s="15"/>
      <c r="U149" s="15"/>
    </row>
    <row r="150" spans="1:21" s="18" customFormat="1" ht="13.5" customHeight="1">
      <c r="A150" s="15" t="s">
        <v>76</v>
      </c>
      <c r="B150" s="16" t="s">
        <v>14</v>
      </c>
      <c r="C150" s="17">
        <f>SUM(C140:C148)</f>
        <v>0</v>
      </c>
      <c r="D150" s="15"/>
      <c r="E150" s="17">
        <f>SUM(E140:E148)</f>
        <v>0</v>
      </c>
      <c r="F150" s="15"/>
      <c r="G150" s="17">
        <f>SUM(G140:G148)</f>
        <v>8021</v>
      </c>
      <c r="H150" s="15"/>
      <c r="I150" s="17">
        <f>SUM(I140:I148)</f>
        <v>4428337</v>
      </c>
      <c r="J150" s="15"/>
      <c r="K150" s="17">
        <f t="shared" si="1"/>
        <v>4436358</v>
      </c>
      <c r="L150" s="15"/>
      <c r="M150" s="17">
        <f>SUM(M140:M148)</f>
        <v>3890356</v>
      </c>
      <c r="N150" s="15"/>
      <c r="O150" s="17">
        <f>SUM(O140:O148)</f>
        <v>546002</v>
      </c>
      <c r="P150" s="15"/>
      <c r="Q150" s="17">
        <f>SUM(Q140:Q148)</f>
        <v>0</v>
      </c>
      <c r="R150" s="15"/>
      <c r="S150" s="15"/>
      <c r="T150" s="15"/>
      <c r="U150" s="15"/>
    </row>
    <row r="151" spans="1:21" s="18" customFormat="1" ht="13.5" customHeight="1">
      <c r="A151" s="15"/>
      <c r="B151" s="16" t="s">
        <v>14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s="18" customFormat="1" ht="13.5" customHeight="1">
      <c r="A152" s="15" t="s">
        <v>20</v>
      </c>
      <c r="B152" s="16" t="s">
        <v>14</v>
      </c>
      <c r="C152" s="15" t="s">
        <v>0</v>
      </c>
      <c r="D152" s="15"/>
      <c r="E152" s="15" t="s">
        <v>0</v>
      </c>
      <c r="F152" s="15"/>
      <c r="G152" s="15" t="s">
        <v>0</v>
      </c>
      <c r="H152" s="15"/>
      <c r="I152" s="15" t="s">
        <v>0</v>
      </c>
      <c r="J152" s="15"/>
      <c r="K152" s="15"/>
      <c r="L152" s="15"/>
      <c r="M152" s="15" t="s">
        <v>0</v>
      </c>
      <c r="N152" s="15"/>
      <c r="O152" s="15" t="s">
        <v>0</v>
      </c>
      <c r="P152" s="15"/>
      <c r="Q152" s="15" t="s">
        <v>0</v>
      </c>
      <c r="R152" s="15"/>
      <c r="S152" s="15"/>
      <c r="T152" s="15"/>
      <c r="U152" s="15"/>
    </row>
    <row r="153" spans="1:21" s="18" customFormat="1" ht="13.5" customHeight="1">
      <c r="A153" s="15" t="s">
        <v>73</v>
      </c>
      <c r="B153" s="16" t="s">
        <v>14</v>
      </c>
      <c r="C153" s="19">
        <v>0</v>
      </c>
      <c r="D153" s="19"/>
      <c r="E153" s="19">
        <v>0</v>
      </c>
      <c r="F153" s="19"/>
      <c r="G153" s="19">
        <v>0</v>
      </c>
      <c r="H153" s="19"/>
      <c r="I153" s="19">
        <v>103544</v>
      </c>
      <c r="J153" s="19" t="s">
        <v>15</v>
      </c>
      <c r="K153" s="15">
        <f>IF(SUM(C153:I153)=SUM(M153:Q153),SUM(M153:Q153),SUM(M153:Q153)-SUM(C153:I153))</f>
        <v>103544</v>
      </c>
      <c r="L153" s="19" t="s">
        <v>15</v>
      </c>
      <c r="M153" s="15">
        <v>93190</v>
      </c>
      <c r="N153" s="15"/>
      <c r="O153" s="15">
        <v>10354</v>
      </c>
      <c r="P153" s="15"/>
      <c r="Q153" s="15">
        <v>0</v>
      </c>
      <c r="R153" s="15"/>
      <c r="S153" s="15"/>
      <c r="T153" s="15"/>
      <c r="U153" s="15"/>
    </row>
    <row r="154" spans="1:21" s="18" customFormat="1" ht="13.5" customHeight="1">
      <c r="A154" s="15" t="s">
        <v>83</v>
      </c>
      <c r="B154" s="16" t="s">
        <v>14</v>
      </c>
      <c r="C154" s="21">
        <v>0</v>
      </c>
      <c r="D154" s="19"/>
      <c r="E154" s="21">
        <v>0</v>
      </c>
      <c r="F154" s="19"/>
      <c r="G154" s="21">
        <v>0</v>
      </c>
      <c r="H154" s="19"/>
      <c r="I154" s="21">
        <f>2+10</f>
        <v>12</v>
      </c>
      <c r="J154" s="19" t="s">
        <v>15</v>
      </c>
      <c r="K154" s="21">
        <f t="shared" si="1"/>
        <v>12</v>
      </c>
      <c r="L154" s="19" t="s">
        <v>15</v>
      </c>
      <c r="M154" s="21">
        <v>0</v>
      </c>
      <c r="N154" s="19"/>
      <c r="O154" s="21">
        <f>2+10</f>
        <v>12</v>
      </c>
      <c r="P154" s="19"/>
      <c r="Q154" s="21">
        <v>0</v>
      </c>
      <c r="R154" s="15"/>
      <c r="S154" s="15"/>
      <c r="T154" s="15"/>
      <c r="U154" s="15"/>
    </row>
    <row r="155" spans="1:21" s="18" customFormat="1" ht="13.5" customHeight="1">
      <c r="A155" s="15" t="s">
        <v>139</v>
      </c>
      <c r="B155" s="16"/>
      <c r="C155" s="33">
        <v>0</v>
      </c>
      <c r="D155" s="19"/>
      <c r="E155" s="33">
        <v>0</v>
      </c>
      <c r="F155" s="19"/>
      <c r="G155" s="33">
        <v>0</v>
      </c>
      <c r="H155" s="19"/>
      <c r="I155" s="33">
        <v>711598</v>
      </c>
      <c r="J155" s="19"/>
      <c r="K155" s="33">
        <f>IF(SUM(C155:I155)=SUM(M155:Q155),SUM(M155:Q155),SUM(M155:Q155)-SUM(C155:I155))</f>
        <v>711598</v>
      </c>
      <c r="L155" s="19"/>
      <c r="M155" s="33">
        <v>0</v>
      </c>
      <c r="N155" s="19"/>
      <c r="O155" s="33">
        <v>711598</v>
      </c>
      <c r="P155" s="19"/>
      <c r="Q155" s="33">
        <v>0</v>
      </c>
      <c r="R155" s="15"/>
      <c r="S155" s="15"/>
      <c r="T155" s="15"/>
      <c r="U155" s="15"/>
    </row>
    <row r="156" spans="1:21" s="18" customFormat="1" ht="13.5" customHeight="1">
      <c r="A156" s="15"/>
      <c r="B156" s="16"/>
      <c r="C156" s="19"/>
      <c r="D156" s="19"/>
      <c r="E156" s="19"/>
      <c r="F156" s="19"/>
      <c r="G156" s="19"/>
      <c r="H156" s="19"/>
      <c r="I156" s="19"/>
      <c r="J156" s="19"/>
      <c r="K156" s="15"/>
      <c r="L156" s="19"/>
      <c r="M156" s="19"/>
      <c r="N156" s="19"/>
      <c r="O156" s="19"/>
      <c r="P156" s="19"/>
      <c r="Q156" s="19"/>
      <c r="R156" s="15"/>
      <c r="S156" s="15"/>
      <c r="T156" s="15"/>
      <c r="U156" s="15"/>
    </row>
    <row r="157" spans="1:21" s="18" customFormat="1" ht="13.5" customHeight="1">
      <c r="A157" s="15" t="s">
        <v>77</v>
      </c>
      <c r="B157" s="16" t="s">
        <v>14</v>
      </c>
      <c r="C157" s="17">
        <f>SUM(C153:C155)</f>
        <v>0</v>
      </c>
      <c r="D157" s="15"/>
      <c r="E157" s="17">
        <f>SUM(E153:E155)</f>
        <v>0</v>
      </c>
      <c r="F157" s="15"/>
      <c r="G157" s="17">
        <f>SUM(G153:G155)</f>
        <v>0</v>
      </c>
      <c r="H157" s="15"/>
      <c r="I157" s="17">
        <f>SUM(I153:I155)</f>
        <v>815154</v>
      </c>
      <c r="J157" s="15"/>
      <c r="K157" s="17">
        <f t="shared" si="1"/>
        <v>815154</v>
      </c>
      <c r="L157" s="15"/>
      <c r="M157" s="17">
        <f>SUM(M153:M155)</f>
        <v>93190</v>
      </c>
      <c r="N157" s="15"/>
      <c r="O157" s="17">
        <f>SUM(O153:O155)</f>
        <v>721964</v>
      </c>
      <c r="P157" s="15"/>
      <c r="Q157" s="17">
        <f>SUM(Q153:Q155)</f>
        <v>0</v>
      </c>
      <c r="R157" s="15"/>
      <c r="S157" s="15"/>
      <c r="T157" s="15"/>
      <c r="U157" s="15"/>
    </row>
    <row r="158" spans="1:21" s="18" customFormat="1" ht="13.5" customHeight="1">
      <c r="A158" s="15"/>
      <c r="B158" s="16" t="s">
        <v>14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s="18" customFormat="1" ht="13.5" customHeight="1">
      <c r="A159" s="15" t="s">
        <v>115</v>
      </c>
      <c r="B159" s="16"/>
      <c r="C159" s="20">
        <v>0</v>
      </c>
      <c r="D159" s="15"/>
      <c r="E159" s="20">
        <v>917</v>
      </c>
      <c r="F159" s="15"/>
      <c r="G159" s="20">
        <v>0</v>
      </c>
      <c r="H159" s="15"/>
      <c r="I159" s="20">
        <v>0</v>
      </c>
      <c r="J159" s="15"/>
      <c r="K159" s="20">
        <f t="shared" si="1"/>
        <v>917</v>
      </c>
      <c r="L159" s="15"/>
      <c r="M159" s="20">
        <v>0</v>
      </c>
      <c r="N159" s="15"/>
      <c r="O159" s="20">
        <v>917</v>
      </c>
      <c r="P159" s="15"/>
      <c r="Q159" s="20">
        <v>0</v>
      </c>
      <c r="R159" s="15"/>
      <c r="S159" s="15"/>
      <c r="T159" s="15"/>
      <c r="U159" s="15"/>
    </row>
    <row r="160" spans="1:21" s="18" customFormat="1" ht="13.5" customHeight="1">
      <c r="A160" s="15"/>
      <c r="B160" s="16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s="18" customFormat="1" ht="13.5" customHeight="1">
      <c r="A161" s="15" t="s">
        <v>119</v>
      </c>
      <c r="B161" s="16" t="s">
        <v>14</v>
      </c>
      <c r="C161" s="29">
        <f>SUM(C101+C108+C137+C150+C157,C159)</f>
        <v>4842666</v>
      </c>
      <c r="D161" s="21"/>
      <c r="E161" s="29">
        <f>SUM(E101+E108+E137+E150+E157,E159)</f>
        <v>21872264</v>
      </c>
      <c r="F161" s="21"/>
      <c r="G161" s="29">
        <f>SUM(G101+G108+G137+G150+G157,G159)</f>
        <v>13512246</v>
      </c>
      <c r="H161" s="21"/>
      <c r="I161" s="29">
        <f>SUM(I101+I108+I137+I150+I157,I159)</f>
        <v>9143357</v>
      </c>
      <c r="J161" s="21"/>
      <c r="K161" s="17">
        <f t="shared" si="1"/>
        <v>49370533</v>
      </c>
      <c r="L161" s="21"/>
      <c r="M161" s="29">
        <f>SUM(M101+M108+M137+M150+M157,M159)</f>
        <v>28068528</v>
      </c>
      <c r="N161" s="21"/>
      <c r="O161" s="29">
        <f>SUM(O101+O108+O137+O150+O157,O159)</f>
        <v>12712787</v>
      </c>
      <c r="P161" s="21"/>
      <c r="Q161" s="29">
        <f>SUM(Q101+Q108+Q137+Q150+Q157,Q159)</f>
        <v>8589218</v>
      </c>
      <c r="R161" s="15"/>
      <c r="S161" s="15"/>
      <c r="T161" s="15"/>
      <c r="U161" s="15"/>
    </row>
    <row r="162" spans="1:21" s="18" customFormat="1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s="18" customFormat="1" ht="13.5">
      <c r="A163" s="15" t="s">
        <v>120</v>
      </c>
      <c r="B163" s="15"/>
      <c r="C163" s="20">
        <f>C161</f>
        <v>4842666</v>
      </c>
      <c r="D163" s="19"/>
      <c r="E163" s="20">
        <f>E161</f>
        <v>21872264</v>
      </c>
      <c r="F163" s="19"/>
      <c r="G163" s="20">
        <f>G161</f>
        <v>13512246</v>
      </c>
      <c r="H163" s="19"/>
      <c r="I163" s="20">
        <f>I161</f>
        <v>9143357</v>
      </c>
      <c r="J163" s="19"/>
      <c r="K163" s="20">
        <f t="shared" si="1"/>
        <v>49370533</v>
      </c>
      <c r="L163" s="19"/>
      <c r="M163" s="20">
        <f>M161</f>
        <v>28068528</v>
      </c>
      <c r="N163" s="19"/>
      <c r="O163" s="20">
        <f>O161</f>
        <v>12712787</v>
      </c>
      <c r="P163" s="19"/>
      <c r="Q163" s="20">
        <f>Q161</f>
        <v>8589218</v>
      </c>
      <c r="R163" s="15"/>
      <c r="S163" s="15"/>
      <c r="T163" s="15"/>
      <c r="U163" s="15"/>
    </row>
    <row r="164" spans="1:21" s="18" customFormat="1" ht="13.5">
      <c r="A164" s="15"/>
      <c r="B164" s="15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5"/>
      <c r="S164" s="15"/>
      <c r="T164" s="15"/>
      <c r="U164" s="15"/>
    </row>
    <row r="165" spans="1:21" s="18" customFormat="1" ht="13.5">
      <c r="A165" s="15" t="s">
        <v>93</v>
      </c>
      <c r="B165" s="15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5"/>
      <c r="S165" s="15"/>
      <c r="T165" s="15"/>
      <c r="U165" s="15"/>
    </row>
    <row r="166" spans="1:21" s="18" customFormat="1" ht="13.5">
      <c r="A166" s="15" t="s">
        <v>94</v>
      </c>
      <c r="B166" s="15"/>
      <c r="C166" s="20">
        <v>0</v>
      </c>
      <c r="D166" s="19"/>
      <c r="E166" s="20">
        <v>0</v>
      </c>
      <c r="F166" s="19"/>
      <c r="G166" s="20">
        <v>0</v>
      </c>
      <c r="H166" s="19"/>
      <c r="I166" s="20">
        <v>2319183</v>
      </c>
      <c r="J166" s="19"/>
      <c r="K166" s="20">
        <f t="shared" si="1"/>
        <v>2319183</v>
      </c>
      <c r="L166" s="19"/>
      <c r="M166" s="20">
        <f>57736+159731</f>
        <v>217467</v>
      </c>
      <c r="N166" s="19"/>
      <c r="O166" s="20">
        <f>-57736+2159452</f>
        <v>2101716</v>
      </c>
      <c r="P166" s="19"/>
      <c r="Q166" s="20">
        <v>0</v>
      </c>
      <c r="R166" s="15"/>
      <c r="S166" s="15"/>
      <c r="T166" s="15"/>
      <c r="U166" s="15"/>
    </row>
    <row r="167" spans="1:21" s="18" customFormat="1" ht="13.5">
      <c r="A167" s="15"/>
      <c r="B167" s="15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5"/>
      <c r="S167" s="15"/>
      <c r="T167" s="15"/>
      <c r="U167" s="15"/>
    </row>
    <row r="168" spans="1:21" s="18" customFormat="1" ht="13.5">
      <c r="A168" s="15" t="s">
        <v>121</v>
      </c>
      <c r="B168" s="15"/>
      <c r="C168" s="20">
        <f>SUM(C166:C167)</f>
        <v>0</v>
      </c>
      <c r="D168" s="19"/>
      <c r="E168" s="20">
        <f>SUM(E166:E167)</f>
        <v>0</v>
      </c>
      <c r="F168" s="19"/>
      <c r="G168" s="20">
        <f>SUM(G166:G167)</f>
        <v>0</v>
      </c>
      <c r="H168" s="19"/>
      <c r="I168" s="20">
        <f>SUM(I166:I167)</f>
        <v>2319183</v>
      </c>
      <c r="J168" s="19"/>
      <c r="K168" s="20">
        <f t="shared" si="1"/>
        <v>2319183</v>
      </c>
      <c r="L168" s="19"/>
      <c r="M168" s="20">
        <f>SUM(M166:M167)</f>
        <v>217467</v>
      </c>
      <c r="N168" s="19"/>
      <c r="O168" s="20">
        <f>SUM(O166:O167)</f>
        <v>2101716</v>
      </c>
      <c r="P168" s="19"/>
      <c r="Q168" s="20">
        <f>SUM(Q166:Q167)</f>
        <v>0</v>
      </c>
      <c r="R168" s="15"/>
      <c r="S168" s="15"/>
      <c r="T168" s="15"/>
      <c r="U168" s="15"/>
    </row>
    <row r="169" spans="1:21" s="18" customFormat="1" ht="13.5">
      <c r="A169" s="15"/>
      <c r="B169" s="15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5"/>
      <c r="S169" s="15"/>
      <c r="T169" s="15"/>
      <c r="U169" s="15"/>
    </row>
    <row r="170" spans="1:21" s="18" customFormat="1" ht="14.25" thickBot="1">
      <c r="A170" s="15" t="s">
        <v>122</v>
      </c>
      <c r="B170" s="15"/>
      <c r="C170" s="30">
        <f>C163+C168</f>
        <v>4842666</v>
      </c>
      <c r="D170" s="21"/>
      <c r="E170" s="30">
        <f>E163+E168</f>
        <v>21872264</v>
      </c>
      <c r="F170" s="21"/>
      <c r="G170" s="30">
        <f>G163+G168</f>
        <v>13512246</v>
      </c>
      <c r="H170" s="21"/>
      <c r="I170" s="30">
        <f>I163+I168</f>
        <v>11462540</v>
      </c>
      <c r="J170" s="21"/>
      <c r="K170" s="31">
        <f t="shared" si="1"/>
        <v>51689716</v>
      </c>
      <c r="L170" s="21"/>
      <c r="M170" s="30">
        <f>M163+M168</f>
        <v>28285995</v>
      </c>
      <c r="N170" s="21"/>
      <c r="O170" s="30">
        <f>O163+O168</f>
        <v>14814503</v>
      </c>
      <c r="P170" s="21"/>
      <c r="Q170" s="30">
        <f>Q163+Q168</f>
        <v>8589218</v>
      </c>
      <c r="R170" s="15"/>
      <c r="S170" s="15"/>
      <c r="T170" s="15"/>
      <c r="U170" s="15"/>
    </row>
    <row r="171" spans="1:21" s="25" customFormat="1" ht="14.25" thickTop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s="25" customFormat="1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s="25" customFormat="1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s="25" customFormat="1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s="25" customFormat="1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s="25" customFormat="1" ht="13.5">
      <c r="A176" s="24" t="s">
        <v>0</v>
      </c>
      <c r="C176" s="24"/>
      <c r="D176" s="24"/>
      <c r="E176" s="2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s="25" customFormat="1" ht="13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s="25" customFormat="1" ht="13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s="25" customFormat="1" ht="13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s="25" customFormat="1" ht="13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s="25" customFormat="1" ht="13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203" spans="1:21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</sheetData>
  <sheetProtection/>
  <mergeCells count="6">
    <mergeCell ref="C10:I10"/>
    <mergeCell ref="C4:O4"/>
    <mergeCell ref="C3:Q3"/>
    <mergeCell ref="C5:Q5"/>
    <mergeCell ref="C6:Q6"/>
    <mergeCell ref="A3:A6"/>
  </mergeCells>
  <conditionalFormatting sqref="A15:IV170">
    <cfRule type="expression" priority="3" dxfId="0" stopIfTrue="1">
      <formula>MOD(ROW(),2)=1</formula>
    </cfRule>
  </conditionalFormatting>
  <printOptions horizontalCentered="1"/>
  <pageMargins left="0.25" right="0.25" top="0.25" bottom="0.25" header="0.3" footer="0.3"/>
  <pageSetup fitToHeight="0" fitToWidth="1" horizontalDpi="600" verticalDpi="600" orientation="landscape" scale="97" r:id="rId2"/>
  <headerFooter alignWithMargins="0">
    <oddFooter>&amp;R&amp;"Goudy Old Style,Regular"&amp;10Page &amp;P of &amp;N</oddFooter>
  </headerFooter>
  <rowBreaks count="4" manualBreakCount="4">
    <brk id="45" max="16" man="1"/>
    <brk id="76" max="16" man="1"/>
    <brk id="109" max="16" man="1"/>
    <brk id="14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2013-09-25T18:53:39Z</cp:lastPrinted>
  <dcterms:modified xsi:type="dcterms:W3CDTF">2013-10-22T14:18:52Z</dcterms:modified>
  <cp:category/>
  <cp:version/>
  <cp:contentType/>
  <cp:contentStatus/>
</cp:coreProperties>
</file>